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umu32-pc\Desktop\設計施工事務要綱改正\設計施工事務取扱要綱　様式\様式　エクセル及びワード\"/>
    </mc:Choice>
  </mc:AlternateContent>
  <bookViews>
    <workbookView xWindow="0" yWindow="0" windowWidth="28800" windowHeight="12450" tabRatio="595"/>
  </bookViews>
  <sheets>
    <sheet name="φ20メーター用" sheetId="6" r:id="rId1"/>
    <sheet name="φ13メーター用" sheetId="2" r:id="rId2"/>
    <sheet name="口径50mm以下" sheetId="3" r:id="rId3"/>
    <sheet name="口径75mm以上" sheetId="4" r:id="rId4"/>
  </sheets>
  <definedNames>
    <definedName name="_xlnm.Print_Area" localSheetId="1">φ13メーター用!$A$1:$AX$52</definedName>
    <definedName name="_xlnm.Print_Area" localSheetId="0">φ20メーター用!$A$1:$AX$52</definedName>
    <definedName name="_xlnm.Print_Area" localSheetId="2">口径50mm以下!$A$3:$DG$54</definedName>
    <definedName name="_xlnm.Print_Area" localSheetId="3">口径75mm以上!$A$3:$DG$57</definedName>
  </definedNames>
  <calcPr calcId="152511"/>
</workbook>
</file>

<file path=xl/calcChain.xml><?xml version="1.0" encoding="utf-8"?>
<calcChain xmlns="http://schemas.openxmlformats.org/spreadsheetml/2006/main">
  <c r="I19" i="6" l="1"/>
  <c r="AH13" i="6" s="1"/>
  <c r="Q40" i="2" l="1"/>
  <c r="AR41" i="6" l="1"/>
  <c r="Q40" i="6"/>
  <c r="AD29" i="6"/>
  <c r="AS27" i="6"/>
  <c r="AS37" i="6" s="1"/>
  <c r="AB27" i="6"/>
  <c r="AH34" i="6" s="1"/>
  <c r="Y8" i="6"/>
  <c r="S18" i="6"/>
  <c r="AF17" i="6"/>
  <c r="S17" i="6"/>
  <c r="S16" i="6"/>
  <c r="S15" i="6"/>
  <c r="S14" i="6"/>
  <c r="S13" i="6"/>
  <c r="S12" i="6"/>
  <c r="S11" i="6"/>
  <c r="S10" i="6"/>
  <c r="S9" i="6"/>
  <c r="S8" i="6"/>
  <c r="S7" i="6"/>
  <c r="U5" i="6"/>
  <c r="AS33" i="6" l="1"/>
  <c r="AA25" i="6" s="1"/>
  <c r="AH25" i="6" s="1"/>
  <c r="AS28" i="6"/>
  <c r="M23" i="6" s="1"/>
  <c r="T23" i="6" s="1"/>
  <c r="AS35" i="6"/>
  <c r="AS36" i="6"/>
  <c r="AS29" i="6"/>
  <c r="M24" i="6" s="1"/>
  <c r="T24" i="6" s="1"/>
  <c r="AS39" i="6"/>
  <c r="AS31" i="6"/>
  <c r="AA23" i="6" s="1"/>
  <c r="AH23" i="6" s="1"/>
  <c r="AS38" i="6"/>
  <c r="S19" i="6"/>
  <c r="AF9" i="6" s="1"/>
  <c r="AF10" i="6"/>
  <c r="AS30" i="6"/>
  <c r="M25" i="6" s="1"/>
  <c r="T25" i="6" s="1"/>
  <c r="AS32" i="6"/>
  <c r="AA24" i="6" s="1"/>
  <c r="AH24" i="6" s="1"/>
  <c r="AS34" i="6"/>
  <c r="AO23" i="6" s="1"/>
  <c r="AV23" i="6" s="1"/>
  <c r="AD29" i="2"/>
  <c r="AB27" i="2"/>
  <c r="BW21" i="4"/>
  <c r="AL21" i="4"/>
  <c r="A21" i="4"/>
  <c r="BW23" i="3"/>
  <c r="AL23" i="3"/>
  <c r="A23" i="3"/>
  <c r="CA12" i="4"/>
  <c r="AP12" i="4"/>
  <c r="E12" i="4"/>
  <c r="U19" i="3"/>
  <c r="BF19" i="3"/>
  <c r="AL41" i="3" s="1"/>
  <c r="CQ19" i="3"/>
  <c r="BW41" i="3" s="1"/>
  <c r="AM9" i="6" l="1"/>
  <c r="Y13" i="6" s="1"/>
  <c r="AN13" i="6" s="1"/>
  <c r="Z17" i="6" s="1"/>
  <c r="AL17" i="6" s="1"/>
  <c r="AL18" i="6" s="1"/>
  <c r="AD28" i="6" s="1"/>
  <c r="AD30" i="6" s="1"/>
  <c r="AC35" i="6" s="1"/>
  <c r="AT25" i="6"/>
  <c r="AD22" i="6" s="1"/>
  <c r="AK22" i="6" s="1"/>
  <c r="AB26" i="6" s="1"/>
  <c r="AH26" i="6" s="1"/>
  <c r="CM19" i="4"/>
  <c r="CH19" i="4"/>
  <c r="CC19" i="4"/>
  <c r="BB19" i="4"/>
  <c r="AW19" i="4"/>
  <c r="AR19" i="4"/>
  <c r="G19" i="4"/>
  <c r="L19" i="4"/>
  <c r="Q19" i="4"/>
  <c r="AG32" i="4"/>
  <c r="BR32" i="4"/>
  <c r="DC32" i="4"/>
  <c r="DA21" i="4"/>
  <c r="BP21" i="4"/>
  <c r="AE21" i="4"/>
  <c r="CV31" i="3"/>
  <c r="BK31" i="3"/>
  <c r="Z31" i="3"/>
  <c r="DC18" i="3"/>
  <c r="BR18" i="3"/>
  <c r="AG18" i="3"/>
  <c r="AS27" i="2"/>
  <c r="S18" i="2"/>
  <c r="S17" i="2"/>
  <c r="S16" i="2"/>
  <c r="S15" i="2"/>
  <c r="S14" i="2"/>
  <c r="S13" i="2"/>
  <c r="S12" i="2"/>
  <c r="S11" i="2"/>
  <c r="S10" i="2"/>
  <c r="S9" i="2"/>
  <c r="S8" i="2"/>
  <c r="S7" i="2"/>
  <c r="U5" i="2"/>
  <c r="AH34" i="2" s="1"/>
  <c r="CR13" i="3"/>
  <c r="BG13" i="3"/>
  <c r="V13" i="3"/>
  <c r="DB14" i="4"/>
  <c r="BQ14" i="4"/>
  <c r="AC31" i="6" l="1"/>
  <c r="AC33" i="6" s="1"/>
  <c r="A53" i="6"/>
  <c r="S41" i="6" s="1"/>
  <c r="AS39" i="2"/>
  <c r="AS37" i="2"/>
  <c r="AS35" i="2"/>
  <c r="AS33" i="2"/>
  <c r="AS31" i="2"/>
  <c r="AS29" i="2"/>
  <c r="AS38" i="2"/>
  <c r="AS36" i="2"/>
  <c r="AS34" i="2"/>
  <c r="AS32" i="2"/>
  <c r="AS30" i="2"/>
  <c r="AS28" i="2"/>
  <c r="A30" i="6" l="1"/>
  <c r="D29" i="6"/>
  <c r="T44" i="6" s="1"/>
  <c r="Y41" i="6"/>
  <c r="AF14" i="4"/>
  <c r="DC26" i="3"/>
  <c r="BR26" i="3"/>
  <c r="AG26" i="3"/>
  <c r="DC36" i="3"/>
  <c r="CH11" i="3"/>
  <c r="CX11" i="3" s="1"/>
  <c r="CN6" i="3"/>
  <c r="BR36" i="3"/>
  <c r="AW11" i="3"/>
  <c r="BM11" i="3" s="1"/>
  <c r="BC6" i="3"/>
  <c r="DC37" i="4"/>
  <c r="DC26" i="4"/>
  <c r="CH26" i="4" s="1"/>
  <c r="CP26" i="4" s="1"/>
  <c r="CH14" i="4"/>
  <c r="CX14" i="4" s="1"/>
  <c r="CH11" i="4"/>
  <c r="CP6" i="4"/>
  <c r="BR37" i="4"/>
  <c r="BR26" i="4"/>
  <c r="AW26" i="4" s="1"/>
  <c r="BE26" i="4" s="1"/>
  <c r="AW14" i="4"/>
  <c r="BM14" i="4" s="1"/>
  <c r="AW11" i="4"/>
  <c r="BE6" i="4"/>
  <c r="L14" i="4"/>
  <c r="AB14" i="4" s="1"/>
  <c r="T6" i="4"/>
  <c r="AE6" i="4" s="1"/>
  <c r="L11" i="4"/>
  <c r="AC11" i="4" s="1"/>
  <c r="R6" i="3"/>
  <c r="AD6" i="3" s="1"/>
  <c r="L11" i="3"/>
  <c r="AG36" i="3"/>
  <c r="AR41" i="2"/>
  <c r="AC12" i="4" l="1"/>
  <c r="X19" i="4" s="1"/>
  <c r="CL13" i="3"/>
  <c r="CX12" i="3"/>
  <c r="CW32" i="3" s="1"/>
  <c r="CZ6" i="3"/>
  <c r="CD7" i="3" s="1"/>
  <c r="CS7" i="3" s="1"/>
  <c r="CZ7" i="3" s="1"/>
  <c r="CE8" i="3" s="1"/>
  <c r="CZ8" i="3" s="1"/>
  <c r="BM12" i="3"/>
  <c r="BL32" i="3" s="1"/>
  <c r="BA13" i="3"/>
  <c r="BO6" i="3"/>
  <c r="AS7" i="3" s="1"/>
  <c r="BH7" i="3" s="1"/>
  <c r="BO7" i="3" s="1"/>
  <c r="AT8" i="3" s="1"/>
  <c r="BO8" i="3" s="1"/>
  <c r="CY11" i="4"/>
  <c r="CY12" i="4" s="1"/>
  <c r="CT19" i="4" s="1"/>
  <c r="DA6" i="4"/>
  <c r="CD7" i="4" s="1"/>
  <c r="CS7" i="4" s="1"/>
  <c r="CZ7" i="4" s="1"/>
  <c r="CE8" i="4" s="1"/>
  <c r="CZ8" i="4" s="1"/>
  <c r="BP6" i="4"/>
  <c r="AS7" i="4" s="1"/>
  <c r="BN11" i="4"/>
  <c r="BN12" i="4" s="1"/>
  <c r="BI19" i="4" s="1"/>
  <c r="AB11" i="3"/>
  <c r="N32" i="4"/>
  <c r="AG22" i="4"/>
  <c r="L22" i="4" s="1"/>
  <c r="T22" i="4" s="1"/>
  <c r="DC22" i="4"/>
  <c r="CH22" i="4" s="1"/>
  <c r="CP22" i="4" s="1"/>
  <c r="BL33" i="3"/>
  <c r="CW33" i="3"/>
  <c r="CJ32" i="4"/>
  <c r="AY32" i="4"/>
  <c r="AG19" i="3"/>
  <c r="K19" i="3" s="1"/>
  <c r="R19" i="3" s="1"/>
  <c r="AG21" i="3"/>
  <c r="AG23" i="3"/>
  <c r="AG25" i="3"/>
  <c r="AG27" i="3"/>
  <c r="AG20" i="3"/>
  <c r="AG22" i="3"/>
  <c r="AG24" i="3"/>
  <c r="DC23" i="4"/>
  <c r="CH23" i="4" s="1"/>
  <c r="CP23" i="4" s="1"/>
  <c r="DC25" i="4"/>
  <c r="CH25" i="4" s="1"/>
  <c r="CP25" i="4" s="1"/>
  <c r="DC34" i="4"/>
  <c r="CG34" i="4" s="1"/>
  <c r="DC36" i="4"/>
  <c r="CG36" i="4" s="1"/>
  <c r="DC38" i="4"/>
  <c r="CG38" i="4" s="1"/>
  <c r="DC24" i="4"/>
  <c r="CH24" i="4" s="1"/>
  <c r="CP24" i="4" s="1"/>
  <c r="DC33" i="4"/>
  <c r="CG33" i="4" s="1"/>
  <c r="DC35" i="4"/>
  <c r="CG35" i="4" s="1"/>
  <c r="AG34" i="4"/>
  <c r="K34" i="4" s="1"/>
  <c r="AG36" i="4"/>
  <c r="K36" i="4" s="1"/>
  <c r="AG38" i="4"/>
  <c r="K38" i="4" s="1"/>
  <c r="AG33" i="4"/>
  <c r="K33" i="4" s="1"/>
  <c r="AG35" i="4"/>
  <c r="K35" i="4" s="1"/>
  <c r="AG37" i="4"/>
  <c r="K37" i="4" s="1"/>
  <c r="BR23" i="4"/>
  <c r="AW23" i="4" s="1"/>
  <c r="BE23" i="4" s="1"/>
  <c r="BR25" i="4"/>
  <c r="AW25" i="4" s="1"/>
  <c r="BE25" i="4" s="1"/>
  <c r="BR34" i="4"/>
  <c r="AV34" i="4" s="1"/>
  <c r="BR36" i="4"/>
  <c r="AV36" i="4" s="1"/>
  <c r="BR38" i="4"/>
  <c r="AV38" i="4" s="1"/>
  <c r="BR22" i="4"/>
  <c r="AW22" i="4" s="1"/>
  <c r="BE22" i="4" s="1"/>
  <c r="BR24" i="4"/>
  <c r="AW24" i="4" s="1"/>
  <c r="BE24" i="4" s="1"/>
  <c r="BR33" i="4"/>
  <c r="AV33" i="4" s="1"/>
  <c r="BR35" i="4"/>
  <c r="AV35" i="4" s="1"/>
  <c r="AG23" i="4"/>
  <c r="L23" i="4" s="1"/>
  <c r="T23" i="4" s="1"/>
  <c r="AG24" i="4"/>
  <c r="L24" i="4" s="1"/>
  <c r="T24" i="4" s="1"/>
  <c r="DC19" i="3"/>
  <c r="CG19" i="3" s="1"/>
  <c r="CN19" i="3" s="1"/>
  <c r="DC21" i="3"/>
  <c r="DC23" i="3"/>
  <c r="DC25" i="3"/>
  <c r="DC27" i="3"/>
  <c r="DC20" i="3"/>
  <c r="DC22" i="3"/>
  <c r="DC24" i="3"/>
  <c r="BR19" i="3"/>
  <c r="AV19" i="3" s="1"/>
  <c r="BC19" i="3" s="1"/>
  <c r="BR21" i="3"/>
  <c r="AV21" i="3" s="1"/>
  <c r="BC21" i="3" s="1"/>
  <c r="BR23" i="3"/>
  <c r="BR25" i="3"/>
  <c r="BR27" i="3"/>
  <c r="BR20" i="3"/>
  <c r="AV20" i="3" s="1"/>
  <c r="BC20" i="3" s="1"/>
  <c r="BR22" i="3"/>
  <c r="BR24" i="3"/>
  <c r="CG37" i="4"/>
  <c r="AV37" i="4"/>
  <c r="H7" i="3"/>
  <c r="W7" i="3" s="1"/>
  <c r="AD7" i="3" s="1"/>
  <c r="H7" i="4"/>
  <c r="W7" i="4" s="1"/>
  <c r="AD7" i="4" s="1"/>
  <c r="AA33" i="3"/>
  <c r="DC32" i="3" l="1"/>
  <c r="DC37" i="3" s="1"/>
  <c r="CJ31" i="4"/>
  <c r="CO31" i="4" s="1"/>
  <c r="CU31" i="4" s="1"/>
  <c r="BR32" i="3"/>
  <c r="BR37" i="3" s="1"/>
  <c r="AG26" i="4"/>
  <c r="L26" i="4" s="1"/>
  <c r="T26" i="4" s="1"/>
  <c r="AG25" i="4"/>
  <c r="L25" i="4" s="1"/>
  <c r="T25" i="4" s="1"/>
  <c r="CP27" i="4"/>
  <c r="CT28" i="4" s="1"/>
  <c r="CY28" i="4" s="1"/>
  <c r="AY31" i="4"/>
  <c r="BD31" i="4" s="1"/>
  <c r="BJ31" i="4" s="1"/>
  <c r="BH7" i="4"/>
  <c r="BO7" i="4" s="1"/>
  <c r="AT8" i="4" s="1"/>
  <c r="BO8" i="4" s="1"/>
  <c r="BE27" i="4"/>
  <c r="BI28" i="4" s="1"/>
  <c r="BN28" i="4" s="1"/>
  <c r="AL58" i="4" s="1"/>
  <c r="P13" i="3"/>
  <c r="AB12" i="3"/>
  <c r="AA32" i="3" s="1"/>
  <c r="AG32" i="3" s="1"/>
  <c r="N31" i="4"/>
  <c r="S31" i="4" s="1"/>
  <c r="Y31" i="4" s="1"/>
  <c r="K20" i="3"/>
  <c r="R20" i="3" s="1"/>
  <c r="CG20" i="3"/>
  <c r="CN20" i="3" s="1"/>
  <c r="AV22" i="3"/>
  <c r="BC22" i="3" s="1"/>
  <c r="I8" i="4"/>
  <c r="AD8" i="4" s="1"/>
  <c r="I8" i="3"/>
  <c r="AD8" i="3" s="1"/>
  <c r="I19" i="2"/>
  <c r="AH13" i="2" s="1"/>
  <c r="AF10" i="2" l="1"/>
  <c r="BK34" i="3"/>
  <c r="BR34" i="3" s="1"/>
  <c r="T27" i="4"/>
  <c r="AS46" i="4"/>
  <c r="BW58" i="4"/>
  <c r="DB19" i="4"/>
  <c r="AX20" i="4"/>
  <c r="BQ19" i="4"/>
  <c r="AR20" i="4" s="1"/>
  <c r="AG37" i="3"/>
  <c r="Z34" i="3"/>
  <c r="AG34" i="3" s="1"/>
  <c r="CK38" i="4"/>
  <c r="CS38" i="4" s="1"/>
  <c r="CK36" i="4"/>
  <c r="CS36" i="4" s="1"/>
  <c r="CK34" i="4"/>
  <c r="CS34" i="4" s="1"/>
  <c r="CK37" i="4"/>
  <c r="CS37" i="4" s="1"/>
  <c r="CK35" i="4"/>
  <c r="CS35" i="4" s="1"/>
  <c r="CK33" i="4"/>
  <c r="CS33" i="4" s="1"/>
  <c r="AZ38" i="4"/>
  <c r="BH38" i="4" s="1"/>
  <c r="AZ36" i="4"/>
  <c r="BH36" i="4" s="1"/>
  <c r="AZ34" i="4"/>
  <c r="BH34" i="4" s="1"/>
  <c r="AZ37" i="4"/>
  <c r="BH37" i="4" s="1"/>
  <c r="AZ35" i="4"/>
  <c r="BH35" i="4" s="1"/>
  <c r="AZ33" i="4"/>
  <c r="BH33" i="4" s="1"/>
  <c r="K21" i="3"/>
  <c r="R21" i="3" s="1"/>
  <c r="CG21" i="3"/>
  <c r="CN21" i="3" s="1"/>
  <c r="AV23" i="3"/>
  <c r="BC23" i="3" s="1"/>
  <c r="CV34" i="3"/>
  <c r="DC34" i="3" s="1"/>
  <c r="O35" i="4"/>
  <c r="W35" i="4" s="1"/>
  <c r="O36" i="4"/>
  <c r="W36" i="4" s="1"/>
  <c r="O37" i="4"/>
  <c r="W37" i="4" s="1"/>
  <c r="O33" i="4"/>
  <c r="W33" i="4" s="1"/>
  <c r="O34" i="4"/>
  <c r="W34" i="4" s="1"/>
  <c r="O38" i="4"/>
  <c r="W38" i="4" s="1"/>
  <c r="S19" i="2"/>
  <c r="Y8" i="2"/>
  <c r="AF17" i="2"/>
  <c r="CD46" i="4" l="1"/>
  <c r="CC20" i="4"/>
  <c r="CC42" i="4" s="1"/>
  <c r="CI20" i="4"/>
  <c r="AR42" i="4"/>
  <c r="CH42" i="4"/>
  <c r="K22" i="3"/>
  <c r="R22" i="3" s="1"/>
  <c r="CG22" i="3"/>
  <c r="CN22" i="3" s="1"/>
  <c r="AV24" i="3"/>
  <c r="BC24" i="3" s="1"/>
  <c r="AW42" i="4"/>
  <c r="L42" i="4"/>
  <c r="M23" i="2"/>
  <c r="T23" i="2" s="1"/>
  <c r="AF9" i="2"/>
  <c r="AM9" i="2" s="1"/>
  <c r="M24" i="2"/>
  <c r="T24" i="2" s="1"/>
  <c r="CC43" i="4" l="1"/>
  <c r="CN48" i="4" s="1"/>
  <c r="AR43" i="4"/>
  <c r="BC48" i="4" s="1"/>
  <c r="K23" i="3"/>
  <c r="R23" i="3" s="1"/>
  <c r="CG23" i="3"/>
  <c r="CN23" i="3" s="1"/>
  <c r="AV25" i="3"/>
  <c r="BC25" i="3" s="1"/>
  <c r="Y13" i="2"/>
  <c r="M25" i="2"/>
  <c r="T25" i="2" s="1"/>
  <c r="AN13" i="2" l="1"/>
  <c r="Z17" i="2" s="1"/>
  <c r="K24" i="3"/>
  <c r="R24" i="3" s="1"/>
  <c r="CG24" i="3"/>
  <c r="CN24" i="3" s="1"/>
  <c r="AV26" i="3"/>
  <c r="BC26" i="3" s="1"/>
  <c r="AV27" i="3"/>
  <c r="BC27" i="3" s="1"/>
  <c r="AA23" i="2"/>
  <c r="AH23" i="2" s="1"/>
  <c r="BB29" i="3" l="1"/>
  <c r="BJ15" i="3" s="1"/>
  <c r="AL17" i="2"/>
  <c r="AL18" i="2" s="1"/>
  <c r="AD28" i="2" s="1"/>
  <c r="AD30" i="2" s="1"/>
  <c r="AC35" i="2" s="1"/>
  <c r="K25" i="3"/>
  <c r="R25" i="3" s="1"/>
  <c r="CG25" i="3"/>
  <c r="CN25" i="3" s="1"/>
  <c r="AA24" i="2"/>
  <c r="AH24" i="2" s="1"/>
  <c r="AC31" i="2" l="1"/>
  <c r="AC33" i="2" s="1"/>
  <c r="BP15" i="3"/>
  <c r="K27" i="3"/>
  <c r="R27" i="3" s="1"/>
  <c r="K26" i="3"/>
  <c r="R26" i="3" s="1"/>
  <c r="CG26" i="3"/>
  <c r="CN26" i="3" s="1"/>
  <c r="CG27" i="3"/>
  <c r="CN27" i="3" s="1"/>
  <c r="AA25" i="2"/>
  <c r="AH25" i="2" s="1"/>
  <c r="BK30" i="3" l="1"/>
  <c r="BR30" i="3" s="1"/>
  <c r="AL55" i="3"/>
  <c r="CM29" i="3"/>
  <c r="CU15" i="3" s="1"/>
  <c r="Q29" i="3"/>
  <c r="Y15" i="3" s="1"/>
  <c r="AO23" i="2"/>
  <c r="AV23" i="2" s="1"/>
  <c r="AT25" i="2" s="1"/>
  <c r="AR33" i="3" l="1"/>
  <c r="BE45" i="3" s="1"/>
  <c r="BA17" i="3"/>
  <c r="AS43" i="3"/>
  <c r="AE15" i="3"/>
  <c r="DA15" i="3"/>
  <c r="AD22" i="2"/>
  <c r="CV30" i="3" l="1"/>
  <c r="DC30" i="3" s="1"/>
  <c r="BW55" i="3"/>
  <c r="Z30" i="3"/>
  <c r="AG30" i="3" s="1"/>
  <c r="A55" i="3"/>
  <c r="AK22" i="2"/>
  <c r="X28" i="4"/>
  <c r="AC28" i="4" s="1"/>
  <c r="CC33" i="3" l="1"/>
  <c r="CP45" i="3" s="1"/>
  <c r="G33" i="3"/>
  <c r="T45" i="3" s="1"/>
  <c r="Q41" i="3"/>
  <c r="T42" i="3"/>
  <c r="CD43" i="3"/>
  <c r="CL17" i="3"/>
  <c r="AB26" i="2"/>
  <c r="AH26" i="2" s="1"/>
  <c r="A53" i="2"/>
  <c r="H43" i="3"/>
  <c r="P17" i="3"/>
  <c r="P42" i="3"/>
  <c r="A58" i="4"/>
  <c r="AF19" i="4"/>
  <c r="D29" i="2" l="1"/>
  <c r="T44" i="2" s="1"/>
  <c r="S41" i="2"/>
  <c r="BF4" i="4"/>
  <c r="CQ4" i="4"/>
  <c r="V4" i="3"/>
  <c r="BF4" i="3" s="1"/>
  <c r="CQ4" i="3" s="1"/>
  <c r="U4" i="4"/>
  <c r="T45" i="4"/>
  <c r="H46" i="4"/>
  <c r="A30" i="2"/>
  <c r="Y41" i="2"/>
  <c r="P45" i="4"/>
  <c r="B48" i="4" s="1"/>
  <c r="M20" i="4"/>
  <c r="G20" i="4"/>
  <c r="G42" i="4" s="1"/>
  <c r="G43" i="4" s="1"/>
  <c r="R48" i="4" s="1"/>
  <c r="X48" i="4" l="1"/>
  <c r="AM48" i="4" s="1"/>
  <c r="BI48" i="4" l="1"/>
  <c r="BX48" i="4" l="1"/>
  <c r="CT48" i="4" s="1"/>
  <c r="B45" i="3" s="1"/>
  <c r="Z45" i="3" l="1"/>
  <c r="AM45" i="3" s="1"/>
  <c r="BK45" i="3" s="1"/>
  <c r="BX45" i="3" s="1"/>
  <c r="CV45" i="3" s="1"/>
  <c r="B44" i="2" l="1"/>
  <c r="AA44" i="2" s="1"/>
  <c r="A32" i="2" s="1"/>
  <c r="B44" i="6"/>
  <c r="AA44" i="6" l="1"/>
  <c r="A32" i="6" s="1"/>
</calcChain>
</file>

<file path=xl/sharedStrings.xml><?xml version="1.0" encoding="utf-8"?>
<sst xmlns="http://schemas.openxmlformats.org/spreadsheetml/2006/main" count="1292" uniqueCount="306">
  <si>
    <t>器具(用途)</t>
    <rPh sb="0" eb="2">
      <t>キグ</t>
    </rPh>
    <rPh sb="3" eb="5">
      <t>ヨウト</t>
    </rPh>
    <phoneticPr fontId="2"/>
  </si>
  <si>
    <t>台所流し</t>
    <rPh sb="0" eb="2">
      <t>ダイドコロ</t>
    </rPh>
    <rPh sb="2" eb="3">
      <t>ナガ</t>
    </rPh>
    <phoneticPr fontId="2"/>
  </si>
  <si>
    <t>洗濯流し</t>
    <rPh sb="0" eb="2">
      <t>センタク</t>
    </rPh>
    <rPh sb="2" eb="3">
      <t>ナガ</t>
    </rPh>
    <phoneticPr fontId="2"/>
  </si>
  <si>
    <t>洗面器</t>
    <rPh sb="0" eb="3">
      <t>センメンキ</t>
    </rPh>
    <phoneticPr fontId="2"/>
  </si>
  <si>
    <t>浴槽(和)</t>
    <rPh sb="0" eb="2">
      <t>ヨクソウ</t>
    </rPh>
    <rPh sb="3" eb="4">
      <t>ワ</t>
    </rPh>
    <phoneticPr fontId="2"/>
  </si>
  <si>
    <t>浴槽(洋)</t>
    <rPh sb="0" eb="2">
      <t>ヨクソウ</t>
    </rPh>
    <rPh sb="3" eb="4">
      <t>ヨウ</t>
    </rPh>
    <phoneticPr fontId="2"/>
  </si>
  <si>
    <t>大便タンク</t>
    <rPh sb="0" eb="2">
      <t>ダイベン</t>
    </rPh>
    <phoneticPr fontId="2"/>
  </si>
  <si>
    <t>小便ﾌﾗｯｼｭ</t>
    <rPh sb="0" eb="2">
      <t>ショウベン</t>
    </rPh>
    <phoneticPr fontId="2"/>
  </si>
  <si>
    <t>手洗器</t>
    <rPh sb="0" eb="2">
      <t>テアラ</t>
    </rPh>
    <rPh sb="2" eb="3">
      <t>キ</t>
    </rPh>
    <phoneticPr fontId="2"/>
  </si>
  <si>
    <t>散水</t>
    <rPh sb="0" eb="2">
      <t>サンスイ</t>
    </rPh>
    <phoneticPr fontId="2"/>
  </si>
  <si>
    <t>ガス給湯器</t>
    <rPh sb="2" eb="5">
      <t>キュウトウキ</t>
    </rPh>
    <phoneticPr fontId="2"/>
  </si>
  <si>
    <t>その他器具1</t>
    <rPh sb="2" eb="3">
      <t>タ</t>
    </rPh>
    <rPh sb="3" eb="5">
      <t>キグ</t>
    </rPh>
    <phoneticPr fontId="2"/>
  </si>
  <si>
    <t>計</t>
    <rPh sb="0" eb="1">
      <t>ケイ</t>
    </rPh>
    <phoneticPr fontId="2"/>
  </si>
  <si>
    <t>単位水量</t>
    <rPh sb="0" eb="2">
      <t>タンイ</t>
    </rPh>
    <rPh sb="2" eb="4">
      <t>スイリョウ</t>
    </rPh>
    <phoneticPr fontId="2"/>
  </si>
  <si>
    <t>合計水量</t>
    <rPh sb="0" eb="2">
      <t>ゴウケイ</t>
    </rPh>
    <rPh sb="2" eb="4">
      <t>スイリョウ</t>
    </rPh>
    <phoneticPr fontId="2"/>
  </si>
  <si>
    <t>栓　数</t>
    <rPh sb="0" eb="1">
      <t>セン</t>
    </rPh>
    <rPh sb="2" eb="3">
      <t>スウ</t>
    </rPh>
    <phoneticPr fontId="2"/>
  </si>
  <si>
    <t>栓</t>
    <rPh sb="0" eb="1">
      <t>セン</t>
    </rPh>
    <phoneticPr fontId="2"/>
  </si>
  <si>
    <t>(A)同時使用栓水量</t>
    <rPh sb="3" eb="5">
      <t>ドウジ</t>
    </rPh>
    <rPh sb="5" eb="7">
      <t>シヨウ</t>
    </rPh>
    <rPh sb="7" eb="8">
      <t>セン</t>
    </rPh>
    <rPh sb="8" eb="10">
      <t>スイリョウ</t>
    </rPh>
    <phoneticPr fontId="2"/>
  </si>
  <si>
    <t>(B)上記以外の使用水量</t>
    <rPh sb="3" eb="5">
      <t>ジョウキ</t>
    </rPh>
    <rPh sb="5" eb="7">
      <t>イガイ</t>
    </rPh>
    <rPh sb="8" eb="10">
      <t>シヨウ</t>
    </rPh>
    <rPh sb="10" eb="12">
      <t>スイリョウ</t>
    </rPh>
    <phoneticPr fontId="2"/>
  </si>
  <si>
    <t>設計水量　Q=(A)+(B)</t>
    <rPh sb="0" eb="2">
      <t>セッケイ</t>
    </rPh>
    <rPh sb="2" eb="4">
      <t>スイリョウ</t>
    </rPh>
    <phoneticPr fontId="2"/>
  </si>
  <si>
    <t>の上限</t>
    <rPh sb="1" eb="3">
      <t>ジョウゲン</t>
    </rPh>
    <phoneticPr fontId="2"/>
  </si>
  <si>
    <t>基準流量</t>
    <rPh sb="0" eb="2">
      <t>キジュン</t>
    </rPh>
    <rPh sb="2" eb="4">
      <t>リュウリョウ</t>
    </rPh>
    <phoneticPr fontId="2"/>
  </si>
  <si>
    <t>管の断面積</t>
    <rPh sb="0" eb="1">
      <t>カン</t>
    </rPh>
    <rPh sb="2" eb="5">
      <t>ダンメンセキ</t>
    </rPh>
    <phoneticPr fontId="2"/>
  </si>
  <si>
    <t>=</t>
    <phoneticPr fontId="2"/>
  </si>
  <si>
    <t>+</t>
    <phoneticPr fontId="2"/>
  </si>
  <si>
    <t>分水栓</t>
    <rPh sb="0" eb="2">
      <t>ブンスイ</t>
    </rPh>
    <rPh sb="2" eb="3">
      <t>セン</t>
    </rPh>
    <phoneticPr fontId="2"/>
  </si>
  <si>
    <t>止水栓</t>
    <rPh sb="0" eb="3">
      <t>シスイセン</t>
    </rPh>
    <phoneticPr fontId="2"/>
  </si>
  <si>
    <t>ﾁｰｽﾞ(直)</t>
    <rPh sb="5" eb="6">
      <t>チョク</t>
    </rPh>
    <phoneticPr fontId="2"/>
  </si>
  <si>
    <t>ﾁｰｽﾞ(分)</t>
    <rPh sb="5" eb="6">
      <t>ブン</t>
    </rPh>
    <phoneticPr fontId="2"/>
  </si>
  <si>
    <t>A</t>
    <phoneticPr fontId="2"/>
  </si>
  <si>
    <t>m+</t>
    <phoneticPr fontId="2"/>
  </si>
  <si>
    <t>m=</t>
    <phoneticPr fontId="2"/>
  </si>
  <si>
    <t>m</t>
    <phoneticPr fontId="2"/>
  </si>
  <si>
    <t>×</t>
    <phoneticPr fontId="2"/>
  </si>
  <si>
    <t>ｴﾙﾎﾞ</t>
    <phoneticPr fontId="2"/>
  </si>
  <si>
    <t>給水栓</t>
    <rPh sb="0" eb="3">
      <t>キュウスイセン</t>
    </rPh>
    <phoneticPr fontId="2"/>
  </si>
  <si>
    <t>ウェストン公式による実損失水頭 m</t>
    <rPh sb="5" eb="7">
      <t>コウシキ</t>
    </rPh>
    <rPh sb="10" eb="11">
      <t>ジツ</t>
    </rPh>
    <rPh sb="11" eb="13">
      <t>ソンシツ</t>
    </rPh>
    <rPh sb="13" eb="14">
      <t>スイ</t>
    </rPh>
    <rPh sb="14" eb="15">
      <t>トウ</t>
    </rPh>
    <phoneticPr fontId="2"/>
  </si>
  <si>
    <t>チーズ(直)</t>
    <rPh sb="4" eb="5">
      <t>チョク</t>
    </rPh>
    <phoneticPr fontId="2"/>
  </si>
  <si>
    <t>チーズ(分)</t>
    <rPh sb="4" eb="5">
      <t>ブン</t>
    </rPh>
    <phoneticPr fontId="2"/>
  </si>
  <si>
    <t>90°ｴﾙﾎﾞ</t>
    <phoneticPr fontId="2"/>
  </si>
  <si>
    <t>ｽﾄｯﾌﾟ弁</t>
    <rPh sb="5" eb="6">
      <t>ベン</t>
    </rPh>
    <phoneticPr fontId="2"/>
  </si>
  <si>
    <t>ｽﾘｰｽ弁</t>
    <rPh sb="4" eb="5">
      <t>ベン</t>
    </rPh>
    <phoneticPr fontId="2"/>
  </si>
  <si>
    <t>ﾎﾞｰﾙﾀｯﾌﾟ</t>
    <phoneticPr fontId="2"/>
  </si>
  <si>
    <t>逆止弁</t>
    <rPh sb="0" eb="1">
      <t>ギャク</t>
    </rPh>
    <rPh sb="1" eb="2">
      <t>シ</t>
    </rPh>
    <rPh sb="2" eb="3">
      <t>ベン</t>
    </rPh>
    <phoneticPr fontId="2"/>
  </si>
  <si>
    <t>異径接合</t>
    <rPh sb="0" eb="1">
      <t>イ</t>
    </rPh>
    <rPh sb="1" eb="2">
      <t>ケイ</t>
    </rPh>
    <rPh sb="2" eb="4">
      <t>セツゴウ</t>
    </rPh>
    <phoneticPr fontId="2"/>
  </si>
  <si>
    <t>h</t>
    <phoneticPr fontId="2"/>
  </si>
  <si>
    <t>(</t>
    <phoneticPr fontId="2"/>
  </si>
  <si>
    <t>0.01739-0.1087d</t>
    <phoneticPr fontId="2"/>
  </si>
  <si>
    <t>)</t>
    <phoneticPr fontId="2"/>
  </si>
  <si>
    <t>d</t>
    <phoneticPr fontId="2"/>
  </si>
  <si>
    <t>l</t>
    <phoneticPr fontId="2"/>
  </si>
  <si>
    <t>2g</t>
    <phoneticPr fontId="2"/>
  </si>
  <si>
    <r>
      <t>V</t>
    </r>
    <r>
      <rPr>
        <vertAlign val="superscript"/>
        <sz val="11"/>
        <rFont val="ＭＳ 明朝"/>
        <family val="1"/>
        <charset val="128"/>
      </rPr>
      <t>2</t>
    </r>
    <phoneticPr fontId="2"/>
  </si>
  <si>
    <t>V</t>
    <phoneticPr fontId="2"/>
  </si>
  <si>
    <t>Q</t>
    <phoneticPr fontId="2"/>
  </si>
  <si>
    <r>
      <t>V:流速(m/s)　d:管の内径(m)　g:重力加速度9.8m/s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　A:管の断面積(m</t>
    </r>
    <r>
      <rPr>
        <vertAlign val="superscript"/>
        <sz val="9"/>
        <rFont val="ＭＳ 明朝"/>
        <family val="1"/>
        <charset val="128"/>
      </rPr>
      <t>2</t>
    </r>
    <r>
      <rPr>
        <sz val="9"/>
        <rFont val="ＭＳ 明朝"/>
        <family val="1"/>
        <charset val="128"/>
      </rPr>
      <t>)</t>
    </r>
    <rPh sb="2" eb="4">
      <t>リュウソク</t>
    </rPh>
    <rPh sb="12" eb="13">
      <t>カン</t>
    </rPh>
    <rPh sb="14" eb="16">
      <t>ナイケイ</t>
    </rPh>
    <rPh sb="22" eb="24">
      <t>ジュウリョク</t>
    </rPh>
    <rPh sb="24" eb="27">
      <t>カソクド</t>
    </rPh>
    <rPh sb="37" eb="38">
      <t>カン</t>
    </rPh>
    <rPh sb="39" eb="42">
      <t>ダンメンセキ</t>
    </rPh>
    <phoneticPr fontId="2"/>
  </si>
  <si>
    <t>管末の損失水頭</t>
    <rPh sb="0" eb="1">
      <t>カン</t>
    </rPh>
    <rPh sb="1" eb="2">
      <t>マツ</t>
    </rPh>
    <rPh sb="3" eb="7">
      <t>ソンシツスイトウ</t>
    </rPh>
    <phoneticPr fontId="2"/>
  </si>
  <si>
    <t>設計水頭</t>
    <rPh sb="0" eb="2">
      <t>セッケイ</t>
    </rPh>
    <rPh sb="2" eb="4">
      <t>スイトウ</t>
    </rPh>
    <phoneticPr fontId="2"/>
  </si>
  <si>
    <t>m-</t>
    <phoneticPr fontId="2"/>
  </si>
  <si>
    <t>残存水頭</t>
    <rPh sb="0" eb="2">
      <t>ザンゾン</t>
    </rPh>
    <rPh sb="2" eb="4">
      <t>スイトウ</t>
    </rPh>
    <phoneticPr fontId="2"/>
  </si>
  <si>
    <t>実損失水頭</t>
    <rPh sb="0" eb="1">
      <t>ジツ</t>
    </rPh>
    <rPh sb="1" eb="5">
      <t>ソンシツスイトウ</t>
    </rPh>
    <phoneticPr fontId="2"/>
  </si>
  <si>
    <t>管末EL</t>
    <rPh sb="0" eb="2">
      <t>カンマツ</t>
    </rPh>
    <phoneticPr fontId="2"/>
  </si>
  <si>
    <t>本管EL</t>
    <rPh sb="0" eb="2">
      <t>ホンカン</t>
    </rPh>
    <phoneticPr fontId="2"/>
  </si>
  <si>
    <t>電気温水器等</t>
    <rPh sb="0" eb="2">
      <t>デンキ</t>
    </rPh>
    <rPh sb="2" eb="5">
      <t>オンスイキ</t>
    </rPh>
    <rPh sb="5" eb="6">
      <t>トウ</t>
    </rPh>
    <phoneticPr fontId="2"/>
  </si>
  <si>
    <t>√V</t>
    <phoneticPr fontId="2"/>
  </si>
  <si>
    <t>メータ適用基準表よりメータ口径は</t>
    <rPh sb="3" eb="5">
      <t>テキヨウ</t>
    </rPh>
    <rPh sb="5" eb="7">
      <t>キジュン</t>
    </rPh>
    <rPh sb="7" eb="8">
      <t>ヒョウ</t>
    </rPh>
    <rPh sb="13" eb="15">
      <t>コウケイ</t>
    </rPh>
    <phoneticPr fontId="2"/>
  </si>
  <si>
    <t>mm</t>
    <phoneticPr fontId="2"/>
  </si>
  <si>
    <t>と仮定する。</t>
    <rPh sb="1" eb="3">
      <t>カテイ</t>
    </rPh>
    <phoneticPr fontId="2"/>
  </si>
  <si>
    <t>使用率</t>
    <rPh sb="0" eb="3">
      <t>シヨウリツ</t>
    </rPh>
    <phoneticPr fontId="2"/>
  </si>
  <si>
    <t>同　時</t>
    <rPh sb="0" eb="1">
      <t>ドウ</t>
    </rPh>
    <rPh sb="2" eb="3">
      <t>トキ</t>
    </rPh>
    <phoneticPr fontId="2"/>
  </si>
  <si>
    <t>2～4栓 → 2栓</t>
    <rPh sb="3" eb="4">
      <t>セン</t>
    </rPh>
    <rPh sb="8" eb="9">
      <t>セン</t>
    </rPh>
    <phoneticPr fontId="2"/>
  </si>
  <si>
    <t xml:space="preserve"> 　1栓 → 1栓</t>
    <rPh sb="3" eb="4">
      <t>セン</t>
    </rPh>
    <rPh sb="8" eb="9">
      <t>セン</t>
    </rPh>
    <phoneticPr fontId="2"/>
  </si>
  <si>
    <t>11～15栓 → 4栓</t>
    <rPh sb="5" eb="6">
      <t>セン</t>
    </rPh>
    <rPh sb="10" eb="11">
      <t>セン</t>
    </rPh>
    <phoneticPr fontId="2"/>
  </si>
  <si>
    <t xml:space="preserve"> 5～10栓 → 3栓</t>
    <rPh sb="5" eb="6">
      <t>セン</t>
    </rPh>
    <rPh sb="10" eb="11">
      <t>セン</t>
    </rPh>
    <phoneticPr fontId="2"/>
  </si>
  <si>
    <t>同時使用率</t>
    <rPh sb="0" eb="2">
      <t>ドウジ</t>
    </rPh>
    <rPh sb="2" eb="4">
      <t>シヨウ</t>
    </rPh>
    <rPh sb="4" eb="5">
      <t>リツ</t>
    </rPh>
    <phoneticPr fontId="2"/>
  </si>
  <si>
    <t>器具別損失水頭換算長</t>
  </si>
  <si>
    <t>損失水頭
直管換算長</t>
    <rPh sb="0" eb="2">
      <t>ソンシツ</t>
    </rPh>
    <rPh sb="2" eb="4">
      <t>スイトウ</t>
    </rPh>
    <phoneticPr fontId="2"/>
  </si>
  <si>
    <t>メーター</t>
    <phoneticPr fontId="2"/>
  </si>
  <si>
    <t>その他 　　　 　</t>
    <phoneticPr fontId="2"/>
  </si>
  <si>
    <t>　器具 ＼ 口径　</t>
    <rPh sb="1" eb="3">
      <t>キグ</t>
    </rPh>
    <phoneticPr fontId="2"/>
  </si>
  <si>
    <t>=</t>
    <phoneticPr fontId="2"/>
  </si>
  <si>
    <t>栓 数</t>
    <rPh sb="0" eb="1">
      <t>セン</t>
    </rPh>
    <rPh sb="2" eb="3">
      <t>スウ</t>
    </rPh>
    <phoneticPr fontId="2"/>
  </si>
  <si>
    <t>断面積</t>
    <rPh sb="0" eb="3">
      <t>ダンメンセキ</t>
    </rPh>
    <phoneticPr fontId="2"/>
  </si>
  <si>
    <t>mm</t>
    <phoneticPr fontId="2"/>
  </si>
  <si>
    <t>本管動水圧の実測値(最低動水圧)</t>
    <phoneticPr fontId="2"/>
  </si>
  <si>
    <t>延長l = 実長 + 直管換算長  =</t>
    <phoneticPr fontId="2"/>
  </si>
  <si>
    <t>栓 数</t>
    <phoneticPr fontId="2"/>
  </si>
  <si>
    <t>栓水量</t>
    <phoneticPr fontId="2"/>
  </si>
  <si>
    <t>リスト　データ元</t>
    <phoneticPr fontId="2"/>
  </si>
  <si>
    <t>動水圧</t>
    <rPh sb="0" eb="1">
      <t>ドウ</t>
    </rPh>
    <rPh sb="1" eb="3">
      <t>スイアツ</t>
    </rPh>
    <phoneticPr fontId="2"/>
  </si>
  <si>
    <t>本管EL
管末EL</t>
    <rPh sb="0" eb="2">
      <t>ホンカン</t>
    </rPh>
    <rPh sb="5" eb="6">
      <t>カン</t>
    </rPh>
    <rPh sb="6" eb="7">
      <t>マツ</t>
    </rPh>
    <phoneticPr fontId="2"/>
  </si>
  <si>
    <t>延長
数量</t>
    <rPh sb="0" eb="2">
      <t>エンチョウ</t>
    </rPh>
    <rPh sb="3" eb="5">
      <t>スウリョウ</t>
    </rPh>
    <phoneticPr fontId="2"/>
  </si>
  <si>
    <t>整数</t>
    <rPh sb="0" eb="2">
      <t>セイスウ</t>
    </rPh>
    <phoneticPr fontId="2"/>
  </si>
  <si>
    <t>2×9.8</t>
    <phoneticPr fontId="2"/>
  </si>
  <si>
    <t>0.01739-0.1087d=</t>
    <phoneticPr fontId="2"/>
  </si>
  <si>
    <t>氏名</t>
  </si>
  <si>
    <t>年</t>
    <phoneticPr fontId="2"/>
  </si>
  <si>
    <t>月</t>
    <phoneticPr fontId="2"/>
  </si>
  <si>
    <t>日</t>
    <phoneticPr fontId="2"/>
  </si>
  <si>
    <t>10.0m</t>
    <phoneticPr fontId="2"/>
  </si>
  <si>
    <t>≧</t>
    <phoneticPr fontId="2"/>
  </si>
  <si>
    <t>m</t>
    <phoneticPr fontId="2"/>
  </si>
  <si>
    <t>=</t>
    <phoneticPr fontId="2"/>
  </si>
  <si>
    <t>+</t>
    <phoneticPr fontId="2"/>
  </si>
  <si>
    <t>実損失水頭</t>
    <rPh sb="0" eb="1">
      <t>ジツ</t>
    </rPh>
    <rPh sb="1" eb="3">
      <t>ソンシツ</t>
    </rPh>
    <rPh sb="3" eb="5">
      <t>スイトウ</t>
    </rPh>
    <phoneticPr fontId="2"/>
  </si>
  <si>
    <t>管末EL</t>
    <rPh sb="0" eb="1">
      <t>カン</t>
    </rPh>
    <rPh sb="1" eb="2">
      <t>マツ</t>
    </rPh>
    <phoneticPr fontId="2"/>
  </si>
  <si>
    <t>管末の残水頭</t>
    <rPh sb="0" eb="2">
      <t>カンマツ</t>
    </rPh>
    <rPh sb="3" eb="4">
      <t>ザン</t>
    </rPh>
    <rPh sb="4" eb="6">
      <t>スイトウ</t>
    </rPh>
    <phoneticPr fontId="2"/>
  </si>
  <si>
    <t>本管動水圧の実測値(最低動水圧)</t>
    <rPh sb="0" eb="2">
      <t>ホンカン</t>
    </rPh>
    <rPh sb="2" eb="3">
      <t>ドウ</t>
    </rPh>
    <rPh sb="3" eb="5">
      <t>スイアツ</t>
    </rPh>
    <rPh sb="6" eb="9">
      <t>ジッソクチ</t>
    </rPh>
    <rPh sb="10" eb="12">
      <t>サイテイ</t>
    </rPh>
    <rPh sb="12" eb="13">
      <t>ドウ</t>
    </rPh>
    <rPh sb="13" eb="15">
      <t>スイアツ</t>
    </rPh>
    <phoneticPr fontId="2"/>
  </si>
  <si>
    <t>V:流速(m/s)　d:管の内径(m)　g:重力加速度9.8m/s2　A:管の断面積(m2)</t>
    <phoneticPr fontId="2"/>
  </si>
  <si>
    <t>√V</t>
    <phoneticPr fontId="2"/>
  </si>
  <si>
    <t>0.01739-0.1087d</t>
    <phoneticPr fontId="2"/>
  </si>
  <si>
    <t>2g</t>
    <phoneticPr fontId="2"/>
  </si>
  <si>
    <t>h=</t>
    <phoneticPr fontId="2"/>
  </si>
  <si>
    <t>V=Q/A=</t>
    <phoneticPr fontId="2"/>
  </si>
  <si>
    <t>h=(0.0126+</t>
    <phoneticPr fontId="2"/>
  </si>
  <si>
    <t>ウェストン公式による実損失水頭</t>
    <rPh sb="5" eb="7">
      <t>コウシキ</t>
    </rPh>
    <rPh sb="10" eb="11">
      <t>ジツ</t>
    </rPh>
    <rPh sb="11" eb="15">
      <t>ソンシツスイトウ</t>
    </rPh>
    <phoneticPr fontId="2"/>
  </si>
  <si>
    <t>逆止弁</t>
    <rPh sb="0" eb="1">
      <t>ギャク</t>
    </rPh>
    <rPh sb="1" eb="2">
      <t>ドメ</t>
    </rPh>
    <rPh sb="2" eb="3">
      <t>ベン</t>
    </rPh>
    <phoneticPr fontId="2"/>
  </si>
  <si>
    <t>ﾁｰｽﾞ･分流</t>
    <rPh sb="4" eb="6">
      <t>ブンリュウ</t>
    </rPh>
    <phoneticPr fontId="2"/>
  </si>
  <si>
    <t>ﾁｰｽﾞ･直流</t>
    <rPh sb="4" eb="6">
      <t>チョクリュウ</t>
    </rPh>
    <phoneticPr fontId="2"/>
  </si>
  <si>
    <t>メータ</t>
    <phoneticPr fontId="2"/>
  </si>
  <si>
    <t>口径</t>
    <phoneticPr fontId="2"/>
  </si>
  <si>
    <t>損失水頭</t>
    <rPh sb="0" eb="2">
      <t>ソンシツ</t>
    </rPh>
    <rPh sb="2" eb="4">
      <t>スイトウ</t>
    </rPh>
    <phoneticPr fontId="2"/>
  </si>
  <si>
    <t>合計換算長</t>
    <rPh sb="0" eb="2">
      <t>ゴウケイ</t>
    </rPh>
    <rPh sb="2" eb="4">
      <t>カンサン</t>
    </rPh>
    <rPh sb="4" eb="5">
      <t>チョウ</t>
    </rPh>
    <phoneticPr fontId="2"/>
  </si>
  <si>
    <t>ﾁｰｽﾞ(直)</t>
    <rPh sb="5" eb="6">
      <t>）</t>
    </rPh>
    <phoneticPr fontId="2"/>
  </si>
  <si>
    <t>d:給水主管の口径(mm)</t>
    <phoneticPr fontId="2"/>
  </si>
  <si>
    <t>⇒</t>
    <phoneticPr fontId="2"/>
  </si>
  <si>
    <t>×10=</t>
    <phoneticPr fontId="2"/>
  </si>
  <si>
    <t>仮定口径</t>
    <rPh sb="0" eb="2">
      <t>カテイ</t>
    </rPh>
    <rPh sb="2" eb="4">
      <t>コウケイ</t>
    </rPh>
    <phoneticPr fontId="2"/>
  </si>
  <si>
    <t>断面積</t>
    <phoneticPr fontId="2"/>
  </si>
  <si>
    <r>
      <t>Q=Q</t>
    </r>
    <r>
      <rPr>
        <vertAlign val="subscript"/>
        <sz val="11"/>
        <rFont val="ＭＳ 明朝"/>
        <family val="1"/>
        <charset val="128"/>
      </rPr>
      <t>1</t>
    </r>
    <r>
      <rPr>
        <sz val="11"/>
        <rFont val="ＭＳ 明朝"/>
        <family val="1"/>
        <charset val="128"/>
      </rPr>
      <t>×戸数</t>
    </r>
    <r>
      <rPr>
        <vertAlign val="superscript"/>
        <sz val="11"/>
        <rFont val="ＭＳ 明朝"/>
        <family val="1"/>
        <charset val="128"/>
      </rPr>
      <t>0.7</t>
    </r>
    <r>
      <rPr>
        <sz val="11"/>
        <rFont val="ＭＳ 明朝"/>
        <family val="1"/>
        <charset val="128"/>
      </rPr>
      <t>+その他の水量</t>
    </r>
    <rPh sb="5" eb="7">
      <t>コスウ</t>
    </rPh>
    <rPh sb="13" eb="14">
      <t>タ</t>
    </rPh>
    <rPh sb="15" eb="17">
      <t>スイリョウ</t>
    </rPh>
    <phoneticPr fontId="2"/>
  </si>
  <si>
    <t>設計水量</t>
    <rPh sb="0" eb="2">
      <t>セッケイ</t>
    </rPh>
    <rPh sb="2" eb="4">
      <t>スイリョウ</t>
    </rPh>
    <phoneticPr fontId="2"/>
  </si>
  <si>
    <t>幹線の設計</t>
    <rPh sb="0" eb="2">
      <t>カンセン</t>
    </rPh>
    <rPh sb="3" eb="5">
      <t>セッケイ</t>
    </rPh>
    <phoneticPr fontId="2"/>
  </si>
  <si>
    <t>m3/時間</t>
    <rPh sb="3" eb="5">
      <t>ジカン</t>
    </rPh>
    <phoneticPr fontId="2"/>
  </si>
  <si>
    <t>(</t>
    <phoneticPr fontId="2"/>
  </si>
  <si>
    <t>時間最大給水量</t>
    <rPh sb="0" eb="2">
      <t>ジカン</t>
    </rPh>
    <rPh sb="2" eb="4">
      <t>サイダイ</t>
    </rPh>
    <rPh sb="4" eb="7">
      <t>キュウスイリョウ</t>
    </rPh>
    <phoneticPr fontId="2"/>
  </si>
  <si>
    <t>×</t>
    <phoneticPr fontId="2"/>
  </si>
  <si>
    <t>人</t>
    <rPh sb="0" eb="1">
      <t>ニン</t>
    </rPh>
    <phoneticPr fontId="2"/>
  </si>
  <si>
    <t>計画給水量</t>
    <rPh sb="0" eb="2">
      <t>ケイカク</t>
    </rPh>
    <rPh sb="2" eb="5">
      <t>キュウスイリョウ</t>
    </rPh>
    <phoneticPr fontId="2"/>
  </si>
  <si>
    <t>人/戸</t>
    <rPh sb="0" eb="1">
      <t>ニン</t>
    </rPh>
    <rPh sb="2" eb="3">
      <t>コ</t>
    </rPh>
    <phoneticPr fontId="2"/>
  </si>
  <si>
    <t>戸</t>
    <rPh sb="0" eb="1">
      <t>コ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</si>
  <si>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</si>
  <si>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計画給水戸数</t>
    <rPh sb="0" eb="2">
      <t>ケイカク</t>
    </rPh>
    <rPh sb="2" eb="4">
      <t>キュウスイ</t>
    </rPh>
    <rPh sb="4" eb="6">
      <t>コスウ</t>
    </rPh>
    <phoneticPr fontId="2"/>
  </si>
  <si>
    <t>m=</t>
    <phoneticPr fontId="2"/>
  </si>
  <si>
    <t>m-</t>
    <phoneticPr fontId="2"/>
  </si>
  <si>
    <t>m+</t>
    <phoneticPr fontId="2"/>
  </si>
  <si>
    <t>h</t>
    <phoneticPr fontId="2"/>
  </si>
  <si>
    <t>2×9.8</t>
    <phoneticPr fontId="2"/>
  </si>
  <si>
    <t>実損失水頭の合計</t>
    <phoneticPr fontId="2"/>
  </si>
  <si>
    <t>断面積</t>
    <phoneticPr fontId="2"/>
  </si>
  <si>
    <t>11°</t>
    <phoneticPr fontId="2"/>
  </si>
  <si>
    <t>22°</t>
    <phoneticPr fontId="2"/>
  </si>
  <si>
    <t>45°</t>
    <phoneticPr fontId="2"/>
  </si>
  <si>
    <t>90°</t>
    <phoneticPr fontId="2"/>
  </si>
  <si>
    <t>全開</t>
    <rPh sb="0" eb="2">
      <t>ゼンカイ</t>
    </rPh>
    <phoneticPr fontId="2"/>
  </si>
  <si>
    <t>半開</t>
    <rPh sb="0" eb="2">
      <t>ハンカイ</t>
    </rPh>
    <phoneticPr fontId="2"/>
  </si>
  <si>
    <t>＼口径</t>
    <phoneticPr fontId="2"/>
  </si>
  <si>
    <t>2g</t>
    <phoneticPr fontId="2"/>
  </si>
  <si>
    <t>A</t>
    <phoneticPr fontId="2"/>
  </si>
  <si>
    <t>fの値</t>
    <phoneticPr fontId="2"/>
  </si>
  <si>
    <r>
      <t>V</t>
    </r>
    <r>
      <rPr>
        <vertAlign val="superscript"/>
        <sz val="11"/>
        <rFont val="ＭＳ 明朝"/>
        <family val="1"/>
        <charset val="128"/>
      </rPr>
      <t>2</t>
    </r>
    <phoneticPr fontId="2"/>
  </si>
  <si>
    <t>Q</t>
    <phoneticPr fontId="2"/>
  </si>
  <si>
    <t>V=</t>
    <phoneticPr fontId="2"/>
  </si>
  <si>
    <t>h=f･</t>
    <phoneticPr fontId="2"/>
  </si>
  <si>
    <t>曲管･弁類</t>
    <rPh sb="0" eb="1">
      <t>キョク</t>
    </rPh>
    <rPh sb="1" eb="2">
      <t>カン</t>
    </rPh>
    <rPh sb="3" eb="4">
      <t>ベン</t>
    </rPh>
    <rPh sb="4" eb="5">
      <t>ルイ</t>
    </rPh>
    <phoneticPr fontId="2"/>
  </si>
  <si>
    <t>　</t>
    <phoneticPr fontId="2"/>
  </si>
  <si>
    <t>直管換算長</t>
    <rPh sb="0" eb="1">
      <t>チョク</t>
    </rPh>
    <rPh sb="1" eb="2">
      <t>カン</t>
    </rPh>
    <rPh sb="2" eb="4">
      <t>カンサン</t>
    </rPh>
    <rPh sb="4" eb="5">
      <t>チョウ</t>
    </rPh>
    <phoneticPr fontId="2"/>
  </si>
  <si>
    <t>水道ﾒｰﾀ軸流</t>
    <rPh sb="0" eb="2">
      <t>スイドウ</t>
    </rPh>
    <rPh sb="5" eb="6">
      <t>ジク</t>
    </rPh>
    <rPh sb="6" eb="7">
      <t>リュウ</t>
    </rPh>
    <phoneticPr fontId="2"/>
  </si>
  <si>
    <t>水道ﾒｰﾀ軸流</t>
    <phoneticPr fontId="2"/>
  </si>
  <si>
    <t>水道ﾒｰﾀ接線流</t>
    <rPh sb="0" eb="2">
      <t>スイドウ</t>
    </rPh>
    <rPh sb="5" eb="7">
      <t>セッセン</t>
    </rPh>
    <rPh sb="7" eb="8">
      <t>リュウ</t>
    </rPh>
    <phoneticPr fontId="2"/>
  </si>
  <si>
    <t>水道ﾒｰﾀ接線流</t>
  </si>
  <si>
    <t>ﾌｰﾄ弁･ｱﾝｸﾞﾙ弁</t>
    <rPh sb="3" eb="4">
      <t>ベン</t>
    </rPh>
    <rPh sb="10" eb="11">
      <t>ベン</t>
    </rPh>
    <phoneticPr fontId="2"/>
  </si>
  <si>
    <t>ﾌｰﾄ弁･ｱﾝｸﾞﾙ弁</t>
    <phoneticPr fontId="2"/>
  </si>
  <si>
    <t>逆止弁</t>
    <phoneticPr fontId="2"/>
  </si>
  <si>
    <t>逆止弁</t>
    <phoneticPr fontId="2"/>
  </si>
  <si>
    <t>丁字管直流</t>
    <phoneticPr fontId="2"/>
  </si>
  <si>
    <t>丁字管直流</t>
  </si>
  <si>
    <t>バルブ類の損失水頭直管換算長</t>
    <rPh sb="3" eb="4">
      <t>ルイ</t>
    </rPh>
    <rPh sb="5" eb="9">
      <t>ソンシツスイトウ</t>
    </rPh>
    <rPh sb="9" eb="10">
      <t>チョク</t>
    </rPh>
    <rPh sb="10" eb="13">
      <t>カンカンサン</t>
    </rPh>
    <rPh sb="13" eb="14">
      <t>チョウ</t>
    </rPh>
    <phoneticPr fontId="2"/>
  </si>
  <si>
    <t>･</t>
    <phoneticPr fontId="2"/>
  </si>
  <si>
    <r>
      <rPr>
        <sz val="10"/>
        <rFont val="ＭＳ 明朝"/>
        <family val="1"/>
        <charset val="128"/>
      </rPr>
      <t>損失水頭</t>
    </r>
    <r>
      <rPr>
        <sz val="11"/>
        <rFont val="ＭＳ 明朝"/>
        <family val="1"/>
        <charset val="128"/>
      </rPr>
      <t xml:space="preserve">
口径</t>
    </r>
    <rPh sb="5" eb="7">
      <t>コウケイ</t>
    </rPh>
    <phoneticPr fontId="2"/>
  </si>
  <si>
    <r>
      <t>･C</t>
    </r>
    <r>
      <rPr>
        <vertAlign val="superscript"/>
        <sz val="11"/>
        <rFont val="ＭＳ 明朝"/>
        <family val="1"/>
        <charset val="128"/>
      </rPr>
      <t>-1.85</t>
    </r>
    <r>
      <rPr>
        <sz val="11"/>
        <rFont val="ＭＳ 明朝"/>
        <family val="1"/>
        <charset val="128"/>
      </rPr>
      <t>･D</t>
    </r>
    <r>
      <rPr>
        <vertAlign val="superscript"/>
        <sz val="11"/>
        <rFont val="ＭＳ 明朝"/>
        <family val="1"/>
        <charset val="128"/>
      </rPr>
      <t>-4.87</t>
    </r>
    <r>
      <rPr>
        <sz val="11"/>
        <rFont val="ＭＳ 明朝"/>
        <family val="1"/>
        <charset val="128"/>
      </rPr>
      <t>･Q</t>
    </r>
    <r>
      <rPr>
        <vertAlign val="superscript"/>
        <sz val="11"/>
        <rFont val="ＭＳ 明朝"/>
        <family val="1"/>
        <charset val="128"/>
      </rPr>
      <t>1.85</t>
    </r>
    <r>
      <rPr>
        <sz val="11"/>
        <rFont val="ＭＳ 明朝"/>
        <family val="1"/>
        <charset val="128"/>
      </rPr>
      <t>･l</t>
    </r>
    <phoneticPr fontId="2"/>
  </si>
  <si>
    <r>
      <t>h</t>
    </r>
    <r>
      <rPr>
        <vertAlign val="subscript"/>
        <sz val="11"/>
        <rFont val="ＭＳ 明朝"/>
        <family val="1"/>
        <charset val="128"/>
      </rPr>
      <t>0</t>
    </r>
    <r>
      <rPr>
        <sz val="11"/>
        <rFont val="ＭＳ 明朝"/>
        <family val="1"/>
        <charset val="128"/>
      </rPr>
      <t>=</t>
    </r>
    <phoneticPr fontId="2"/>
  </si>
  <si>
    <t>ｽﾘｰｽ弁</t>
    <phoneticPr fontId="2"/>
  </si>
  <si>
    <t>異径接合</t>
    <phoneticPr fontId="2"/>
  </si>
  <si>
    <t>延長l=実長+直管換算長=</t>
    <rPh sb="0" eb="2">
      <t>エンチョウ</t>
    </rPh>
    <phoneticPr fontId="2"/>
  </si>
  <si>
    <t>m+</t>
    <phoneticPr fontId="2"/>
  </si>
  <si>
    <t>→</t>
    <phoneticPr fontId="2"/>
  </si>
  <si>
    <t>＼口径</t>
    <phoneticPr fontId="2"/>
  </si>
  <si>
    <t>m</t>
    <phoneticPr fontId="2"/>
  </si>
  <si>
    <t>+</t>
    <phoneticPr fontId="2"/>
  </si>
  <si>
    <t>-</t>
    <phoneticPr fontId="2"/>
  </si>
  <si>
    <t>=</t>
    <phoneticPr fontId="2"/>
  </si>
  <si>
    <t>損失水頭直管換算長</t>
    <phoneticPr fontId="2"/>
  </si>
  <si>
    <t>⇒</t>
    <phoneticPr fontId="2"/>
  </si>
  <si>
    <t>≧</t>
    <phoneticPr fontId="2"/>
  </si>
  <si>
    <t>m</t>
    <phoneticPr fontId="2"/>
  </si>
  <si>
    <t>年</t>
    <phoneticPr fontId="2"/>
  </si>
  <si>
    <t>月</t>
    <phoneticPr fontId="2"/>
  </si>
  <si>
    <t>日</t>
    <phoneticPr fontId="2"/>
  </si>
  <si>
    <t>申請者</t>
    <phoneticPr fontId="2"/>
  </si>
  <si>
    <t>住所</t>
    <phoneticPr fontId="2"/>
  </si>
  <si>
    <t>氏名</t>
    <phoneticPr fontId="2"/>
  </si>
  <si>
    <t>直線部　H－W公式より</t>
    <rPh sb="0" eb="2">
      <t>チョクセン</t>
    </rPh>
    <rPh sb="2" eb="3">
      <t>ブ</t>
    </rPh>
    <phoneticPr fontId="2"/>
  </si>
  <si>
    <r>
      <t>h0:損失水頭(m) 　C:流速計数(110) 　D:口径(m) 　　　Q:流量(m</t>
    </r>
    <r>
      <rPr>
        <vertAlign val="superscript"/>
        <sz val="9"/>
        <rFont val="ＭＳ 明朝"/>
        <family val="1"/>
        <charset val="128"/>
      </rPr>
      <t>3</t>
    </r>
    <r>
      <rPr>
        <sz val="9"/>
        <rFont val="ＭＳ 明朝"/>
        <family val="1"/>
        <charset val="128"/>
      </rPr>
      <t>/s)　　　　　l:延長(m)</t>
    </r>
    <rPh sb="3" eb="7">
      <t>ソンシツスイトウ</t>
    </rPh>
    <rPh sb="14" eb="16">
      <t>リュウソク</t>
    </rPh>
    <rPh sb="16" eb="18">
      <t>ケイスウ</t>
    </rPh>
    <rPh sb="27" eb="29">
      <t>コウケイ</t>
    </rPh>
    <rPh sb="38" eb="40">
      <t>リュウリョウ</t>
    </rPh>
    <rPh sb="53" eb="55">
      <t>エンチョウ</t>
    </rPh>
    <phoneticPr fontId="2"/>
  </si>
  <si>
    <t>戸数整数</t>
    <rPh sb="0" eb="2">
      <t>コスウ</t>
    </rPh>
    <rPh sb="2" eb="4">
      <t>セイスウ</t>
    </rPh>
    <phoneticPr fontId="2"/>
  </si>
  <si>
    <t>設計水頭</t>
    <rPh sb="0" eb="2">
      <t>セッケイ</t>
    </rPh>
    <rPh sb="2" eb="4">
      <t>スイトウ</t>
    </rPh>
    <phoneticPr fontId="2"/>
  </si>
  <si>
    <t>管末の残水頭</t>
    <rPh sb="0" eb="1">
      <t>カン</t>
    </rPh>
    <rPh sb="1" eb="2">
      <t>マツ</t>
    </rPh>
    <rPh sb="3" eb="4">
      <t>ザン</t>
    </rPh>
    <rPh sb="4" eb="6">
      <t>スイトウ</t>
    </rPh>
    <phoneticPr fontId="2"/>
  </si>
  <si>
    <t>h0</t>
    <phoneticPr fontId="2"/>
  </si>
  <si>
    <t>h1+h2+h3+h4+h5+h6</t>
    <phoneticPr fontId="2"/>
  </si>
  <si>
    <t>＋</t>
    <phoneticPr fontId="2"/>
  </si>
  <si>
    <t>人×</t>
    <rPh sb="0" eb="1">
      <t>ニン</t>
    </rPh>
    <phoneticPr fontId="2"/>
  </si>
  <si>
    <t>仕切弁半開 h1=</t>
    <phoneticPr fontId="2"/>
  </si>
  <si>
    <t>×</t>
    <phoneticPr fontId="2"/>
  </si>
  <si>
    <t>=</t>
    <phoneticPr fontId="2"/>
  </si>
  <si>
    <t>仕切弁全開 h2=</t>
    <phoneticPr fontId="2"/>
  </si>
  <si>
    <t>曲管90°   h3=</t>
    <phoneticPr fontId="2"/>
  </si>
  <si>
    <t>曲管45°   h4=</t>
    <phoneticPr fontId="2"/>
  </si>
  <si>
    <t>曲管22°   h5=</t>
    <phoneticPr fontId="2"/>
  </si>
  <si>
    <t>曲管11°   h6=</t>
    <phoneticPr fontId="2"/>
  </si>
  <si>
    <t>＼口径</t>
    <phoneticPr fontId="2"/>
  </si>
  <si>
    <t>ｍｍ</t>
    <phoneticPr fontId="2"/>
  </si>
  <si>
    <t>丁字管直流</t>
    <phoneticPr fontId="2"/>
  </si>
  <si>
    <t>逆止弁</t>
    <phoneticPr fontId="2"/>
  </si>
  <si>
    <t>ﾌｰﾄ弁･ｱﾝｸﾞﾙ弁</t>
    <phoneticPr fontId="2"/>
  </si>
  <si>
    <t>水道ﾒｰﾀ接線流</t>
    <phoneticPr fontId="2"/>
  </si>
  <si>
    <t>水道ﾒｰﾀ軸流</t>
    <phoneticPr fontId="2"/>
  </si>
  <si>
    <t>メータ</t>
    <phoneticPr fontId="2"/>
  </si>
  <si>
    <t>ｴﾙﾎﾞ</t>
    <phoneticPr fontId="2"/>
  </si>
  <si>
    <t>その他</t>
    <phoneticPr fontId="2"/>
  </si>
  <si>
    <t>90°ｴﾙﾎﾞ</t>
    <phoneticPr fontId="2"/>
  </si>
  <si>
    <t>ｽﾘｰｽ弁</t>
    <phoneticPr fontId="2"/>
  </si>
  <si>
    <t>異径接合</t>
    <phoneticPr fontId="2"/>
  </si>
  <si>
    <t>仕切弁</t>
    <phoneticPr fontId="2"/>
  </si>
  <si>
    <t>曲管</t>
    <phoneticPr fontId="2"/>
  </si>
  <si>
    <t>h:損失水頭(m) g:重力加速度(9.8m/s2) V:流速(m/s) f:係数 A:管の断面積(m2)</t>
    <phoneticPr fontId="2"/>
  </si>
  <si>
    <t>×</t>
    <phoneticPr fontId="2"/>
  </si>
  <si>
    <t>+</t>
    <phoneticPr fontId="2"/>
  </si>
  <si>
    <t>)</t>
    <phoneticPr fontId="2"/>
  </si>
  <si>
    <t>=</t>
    <phoneticPr fontId="2"/>
  </si>
  <si>
    <t>=(</t>
    <phoneticPr fontId="2"/>
  </si>
  <si>
    <t>D:給水主管の口径(mm) d1,d2,d3・:各戸の給水管口径（mm）</t>
    <phoneticPr fontId="2"/>
  </si>
  <si>
    <t>延長l=実長+直管換算長=</t>
    <rPh sb="0" eb="2">
      <t>エンチョウ</t>
    </rPh>
    <rPh sb="4" eb="6">
      <t>ジツチョウ</t>
    </rPh>
    <rPh sb="7" eb="8">
      <t>チョク</t>
    </rPh>
    <rPh sb="8" eb="11">
      <t>カンカンサン</t>
    </rPh>
    <rPh sb="11" eb="12">
      <t>チョウ</t>
    </rPh>
    <phoneticPr fontId="2"/>
  </si>
  <si>
    <r>
      <t>D=(d</t>
    </r>
    <r>
      <rPr>
        <vertAlign val="subscript"/>
        <sz val="11"/>
        <rFont val="ＭＳ 明朝"/>
        <family val="1"/>
        <charset val="128"/>
      </rPr>
      <t>1</t>
    </r>
    <r>
      <rPr>
        <vertAlign val="superscript"/>
        <sz val="11"/>
        <rFont val="ＭＳ 明朝"/>
        <family val="1"/>
        <charset val="128"/>
      </rPr>
      <t>2.63</t>
    </r>
    <r>
      <rPr>
        <sz val="11"/>
        <rFont val="ＭＳ 明朝"/>
        <family val="1"/>
        <charset val="128"/>
      </rPr>
      <t>+d</t>
    </r>
    <r>
      <rPr>
        <vertAlign val="subscript"/>
        <sz val="11"/>
        <rFont val="ＭＳ 明朝"/>
        <family val="1"/>
        <charset val="128"/>
      </rPr>
      <t>2</t>
    </r>
    <r>
      <rPr>
        <vertAlign val="superscript"/>
        <sz val="11"/>
        <rFont val="ＭＳ 明朝"/>
        <family val="1"/>
        <charset val="128"/>
      </rPr>
      <t>2.63</t>
    </r>
    <r>
      <rPr>
        <sz val="11"/>
        <rFont val="ＭＳ 明朝"/>
        <family val="1"/>
        <charset val="128"/>
      </rPr>
      <t>+d</t>
    </r>
    <r>
      <rPr>
        <vertAlign val="subscript"/>
        <sz val="11"/>
        <rFont val="ＭＳ 明朝"/>
        <family val="1"/>
        <charset val="128"/>
      </rPr>
      <t>3</t>
    </r>
    <r>
      <rPr>
        <vertAlign val="superscript"/>
        <sz val="11"/>
        <rFont val="ＭＳ 明朝"/>
        <family val="1"/>
        <charset val="128"/>
      </rPr>
      <t>2.63</t>
    </r>
    <r>
      <rPr>
        <sz val="11"/>
        <rFont val="ＭＳ 明朝"/>
        <family val="1"/>
        <charset val="128"/>
      </rPr>
      <t>+・・)</t>
    </r>
    <r>
      <rPr>
        <vertAlign val="superscript"/>
        <sz val="11"/>
        <rFont val="ＭＳ 明朝"/>
        <family val="1"/>
        <charset val="128"/>
      </rPr>
      <t>0.38</t>
    </r>
    <phoneticPr fontId="2"/>
  </si>
  <si>
    <t>水量</t>
    <rPh sb="0" eb="2">
      <t>スイリョウ</t>
    </rPh>
    <phoneticPr fontId="2"/>
  </si>
  <si>
    <t>幹線の設計</t>
    <phoneticPr fontId="2"/>
  </si>
  <si>
    <t>=</t>
    <phoneticPr fontId="2"/>
  </si>
  <si>
    <t>≒</t>
    <phoneticPr fontId="2"/>
  </si>
  <si>
    <t>人/戸≒</t>
    <rPh sb="0" eb="1">
      <t>ニン</t>
    </rPh>
    <rPh sb="2" eb="3">
      <t>コ</t>
    </rPh>
    <phoneticPr fontId="2"/>
  </si>
  <si>
    <t>戸×</t>
    <rPh sb="0" eb="1">
      <t>コ</t>
    </rPh>
    <phoneticPr fontId="2"/>
  </si>
  <si>
    <t xml:space="preserve">住居規模  　 　 LDK  　　 居住者数　3.5人/戸　　　  </t>
    <rPh sb="0" eb="2">
      <t>ジュウキョ</t>
    </rPh>
    <rPh sb="2" eb="4">
      <t>キボ</t>
    </rPh>
    <rPh sb="18" eb="21">
      <t>キョジュウシャ</t>
    </rPh>
    <rPh sb="21" eb="22">
      <t>スウ</t>
    </rPh>
    <rPh sb="26" eb="27">
      <t>ニン</t>
    </rPh>
    <rPh sb="28" eb="29">
      <t>ト</t>
    </rPh>
    <phoneticPr fontId="2"/>
  </si>
  <si>
    <t>　　　 戸建団地給水幹線水理計算書 (区間</t>
    <rPh sb="4" eb="6">
      <t>コダテ</t>
    </rPh>
    <rPh sb="6" eb="8">
      <t>ダンチ</t>
    </rPh>
    <rPh sb="8" eb="10">
      <t>キュウスイ</t>
    </rPh>
    <rPh sb="10" eb="12">
      <t>カンセン</t>
    </rPh>
    <rPh sb="12" eb="14">
      <t>スイリ</t>
    </rPh>
    <rPh sb="14" eb="17">
      <t>ケイサンショ</t>
    </rPh>
    <phoneticPr fontId="2"/>
  </si>
  <si>
    <t>基本計画</t>
    <phoneticPr fontId="2"/>
  </si>
  <si>
    <t>口径</t>
    <phoneticPr fontId="2"/>
  </si>
  <si>
    <t>mm</t>
    <phoneticPr fontId="2"/>
  </si>
  <si>
    <t>-</t>
    <phoneticPr fontId="2"/>
  </si>
  <si>
    <t>-</t>
    <phoneticPr fontId="2"/>
  </si>
  <si>
    <t>m -</t>
    <phoneticPr fontId="2"/>
  </si>
  <si>
    <t>器具別損失水頭換算表</t>
    <phoneticPr fontId="2"/>
  </si>
  <si>
    <t>住居専用水理計算書（口径φ</t>
    <phoneticPr fontId="2"/>
  </si>
  <si>
    <t>mm）</t>
    <phoneticPr fontId="2"/>
  </si>
  <si>
    <t>　　　戸建団地給水幹線水理計算書 (区間</t>
    <rPh sb="3" eb="5">
      <t>コダテ</t>
    </rPh>
    <rPh sb="5" eb="7">
      <t>ダンチ</t>
    </rPh>
    <rPh sb="7" eb="9">
      <t>キュウスイ</t>
    </rPh>
    <rPh sb="9" eb="11">
      <t>カンセン</t>
    </rPh>
    <rPh sb="11" eb="13">
      <t>スイリ</t>
    </rPh>
    <rPh sb="13" eb="16">
      <t>ケイサンショ</t>
    </rPh>
    <phoneticPr fontId="2"/>
  </si>
  <si>
    <t>≧ 10.0 m</t>
    <phoneticPr fontId="2"/>
  </si>
  <si>
    <t>L/日/人×1.1=</t>
    <rPh sb="2" eb="3">
      <t>ニチ</t>
    </rPh>
    <rPh sb="4" eb="5">
      <t>ヒト</t>
    </rPh>
    <phoneticPr fontId="2"/>
  </si>
  <si>
    <t>L/日=</t>
    <rPh sb="2" eb="3">
      <t>ニチ</t>
    </rPh>
    <phoneticPr fontId="2"/>
  </si>
  <si>
    <t>m3/日</t>
    <rPh sb="3" eb="4">
      <t>ニチ</t>
    </rPh>
    <phoneticPr fontId="2"/>
  </si>
  <si>
    <t>m3/日÷24時間)×3.3+</t>
    <rPh sb="3" eb="4">
      <t>ニチ</t>
    </rPh>
    <phoneticPr fontId="2"/>
  </si>
  <si>
    <t>L/分*</t>
    <rPh sb="2" eb="3">
      <t>フン</t>
    </rPh>
    <phoneticPr fontId="2"/>
  </si>
  <si>
    <t>L/分</t>
    <rPh sb="2" eb="3">
      <t>フン</t>
    </rPh>
    <phoneticPr fontId="2"/>
  </si>
  <si>
    <t>m3/s</t>
    <phoneticPr fontId="2"/>
  </si>
  <si>
    <t>1日当たりの使用量250L/人・日×　　人/戸＝　　　L/日＝　　　m3/日・戸</t>
    <rPh sb="1" eb="2">
      <t>ニチ</t>
    </rPh>
    <rPh sb="2" eb="3">
      <t>ア</t>
    </rPh>
    <rPh sb="6" eb="8">
      <t>シヨウ</t>
    </rPh>
    <rPh sb="8" eb="9">
      <t>リョウ</t>
    </rPh>
    <rPh sb="14" eb="15">
      <t>ヒト</t>
    </rPh>
    <rPh sb="16" eb="17">
      <t>ニチ</t>
    </rPh>
    <rPh sb="20" eb="21">
      <t>ヒト</t>
    </rPh>
    <rPh sb="22" eb="23">
      <t>ト</t>
    </rPh>
    <rPh sb="29" eb="30">
      <t>ニチ</t>
    </rPh>
    <rPh sb="37" eb="38">
      <t>ニチ</t>
    </rPh>
    <rPh sb="39" eb="40">
      <t>ト</t>
    </rPh>
    <phoneticPr fontId="2"/>
  </si>
  <si>
    <t>m2</t>
    <phoneticPr fontId="2"/>
  </si>
  <si>
    <t>mm</t>
    <phoneticPr fontId="2"/>
  </si>
  <si>
    <t>L/分×</t>
    <rPh sb="2" eb="3">
      <t>フン</t>
    </rPh>
    <phoneticPr fontId="2"/>
  </si>
  <si>
    <t>Q:設計水量(L/分)</t>
    <rPh sb="2" eb="4">
      <t>セッケイ</t>
    </rPh>
    <rPh sb="4" eb="6">
      <t>スイリョウ</t>
    </rPh>
    <rPh sb="9" eb="10">
      <t>フン</t>
    </rPh>
    <phoneticPr fontId="2"/>
  </si>
  <si>
    <t>13mmメーター　33L/分</t>
    <rPh sb="13" eb="14">
      <t>フン</t>
    </rPh>
    <phoneticPr fontId="2"/>
  </si>
  <si>
    <t>20mmメーター　67L/分</t>
    <rPh sb="13" eb="14">
      <t>フン</t>
    </rPh>
    <phoneticPr fontId="2"/>
  </si>
  <si>
    <t>器具別損失水頭換算長 m</t>
    <rPh sb="0" eb="2">
      <t>キグ</t>
    </rPh>
    <rPh sb="2" eb="3">
      <t>ベツ</t>
    </rPh>
    <rPh sb="3" eb="7">
      <t>ソンシツスイトウ</t>
    </rPh>
    <rPh sb="7" eb="9">
      <t>カンサン</t>
    </rPh>
    <rPh sb="9" eb="10">
      <t>チョウ</t>
    </rPh>
    <phoneticPr fontId="2"/>
  </si>
  <si>
    <t>器具別損失水頭換算表 m</t>
    <phoneticPr fontId="2"/>
  </si>
  <si>
    <t>器具別損失水頭換算表 m</t>
    <phoneticPr fontId="2"/>
  </si>
  <si>
    <t>Mpa</t>
    <phoneticPr fontId="2"/>
  </si>
  <si>
    <t>Mpa</t>
    <phoneticPr fontId="2"/>
  </si>
  <si>
    <t>×0.95×100=</t>
    <phoneticPr fontId="2"/>
  </si>
  <si>
    <t>55行：口径、水量、延長が記載されている場合、"1"を表示</t>
    <rPh sb="2" eb="3">
      <t>ギョウ</t>
    </rPh>
    <rPh sb="4" eb="6">
      <t>コウケイ</t>
    </rPh>
    <rPh sb="7" eb="8">
      <t>スイ</t>
    </rPh>
    <rPh sb="8" eb="9">
      <t>リョウ</t>
    </rPh>
    <rPh sb="10" eb="12">
      <t>エンチョウ</t>
    </rPh>
    <rPh sb="13" eb="15">
      <t>キサイ</t>
    </rPh>
    <rPh sb="20" eb="22">
      <t>バアイ</t>
    </rPh>
    <rPh sb="27" eb="29">
      <t>ヒョウジ</t>
    </rPh>
    <phoneticPr fontId="2"/>
  </si>
  <si>
    <t>58行：口径、水量、延長が記載されている場合、"1"を表示</t>
    <rPh sb="2" eb="3">
      <t>ギョウ</t>
    </rPh>
    <rPh sb="4" eb="6">
      <t>コウケイ</t>
    </rPh>
    <rPh sb="7" eb="8">
      <t>スイ</t>
    </rPh>
    <rPh sb="8" eb="9">
      <t>リョウ</t>
    </rPh>
    <rPh sb="10" eb="12">
      <t>エンチョウ</t>
    </rPh>
    <rPh sb="13" eb="15">
      <t>キサイ</t>
    </rPh>
    <rPh sb="20" eb="22">
      <t>バアイ</t>
    </rPh>
    <rPh sb="27" eb="29">
      <t>ヒョウジ</t>
    </rPh>
    <phoneticPr fontId="2"/>
  </si>
  <si>
    <t>Mpa×0.95×100=</t>
    <phoneticPr fontId="2"/>
  </si>
  <si>
    <t>その１</t>
    <phoneticPr fontId="2"/>
  </si>
  <si>
    <t>その２</t>
    <phoneticPr fontId="2"/>
  </si>
  <si>
    <t>その３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</si>
  <si>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</si>
  <si>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</si>
  <si>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</si>
  <si>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>m</t>
    <phoneticPr fontId="2"/>
  </si>
  <si>
    <t>申請者</t>
    <phoneticPr fontId="2"/>
  </si>
  <si>
    <t>申請者</t>
    <phoneticPr fontId="2"/>
  </si>
  <si>
    <t>　使用水量が特定計量器検定検査規則（平成５年経済産業省令第７０号）に基づき別に定める適正使用流量範囲を常に超え、山陽小野田市水道事業給水条例第１７条第４項によりメーターの口径の増径を指示された場合、速やかにメーターの増径工事を行います。　  　　　                   　</t>
    <rPh sb="1" eb="3">
      <t>シヨウ</t>
    </rPh>
    <rPh sb="3" eb="5">
      <t>スイリョウ</t>
    </rPh>
    <rPh sb="6" eb="8">
      <t>トクテイ</t>
    </rPh>
    <rPh sb="8" eb="10">
      <t>ケイリョウ</t>
    </rPh>
    <rPh sb="10" eb="11">
      <t>キ</t>
    </rPh>
    <rPh sb="11" eb="13">
      <t>ケンテイ</t>
    </rPh>
    <rPh sb="13" eb="15">
      <t>ケンサ</t>
    </rPh>
    <rPh sb="15" eb="17">
      <t>キソク</t>
    </rPh>
    <rPh sb="18" eb="20">
      <t>ヘイセイ</t>
    </rPh>
    <rPh sb="21" eb="22">
      <t>ネン</t>
    </rPh>
    <rPh sb="22" eb="24">
      <t>ケイザイ</t>
    </rPh>
    <rPh sb="24" eb="27">
      <t>サンギョウショウ</t>
    </rPh>
    <rPh sb="27" eb="28">
      <t>レイ</t>
    </rPh>
    <rPh sb="28" eb="29">
      <t>ダイ</t>
    </rPh>
    <rPh sb="31" eb="32">
      <t>ゴウ</t>
    </rPh>
    <rPh sb="34" eb="35">
      <t>モト</t>
    </rPh>
    <rPh sb="37" eb="38">
      <t>ベツ</t>
    </rPh>
    <rPh sb="39" eb="40">
      <t>サダ</t>
    </rPh>
    <rPh sb="42" eb="44">
      <t>テキセイ</t>
    </rPh>
    <rPh sb="44" eb="46">
      <t>シヨウ</t>
    </rPh>
    <rPh sb="46" eb="48">
      <t>リュウリョウ</t>
    </rPh>
    <rPh sb="48" eb="50">
      <t>ハンイ</t>
    </rPh>
    <rPh sb="51" eb="52">
      <t>ツネ</t>
    </rPh>
    <rPh sb="53" eb="54">
      <t>コ</t>
    </rPh>
    <rPh sb="56" eb="58">
      <t>サンヨウ</t>
    </rPh>
    <rPh sb="58" eb="62">
      <t>オノダシ</t>
    </rPh>
    <rPh sb="62" eb="64">
      <t>スイドウ</t>
    </rPh>
    <rPh sb="64" eb="66">
      <t>ジギョウ</t>
    </rPh>
    <rPh sb="66" eb="68">
      <t>キュウスイ</t>
    </rPh>
    <rPh sb="68" eb="70">
      <t>ジョウレイ</t>
    </rPh>
    <rPh sb="70" eb="71">
      <t>ダイ</t>
    </rPh>
    <rPh sb="73" eb="74">
      <t>ジョウ</t>
    </rPh>
    <rPh sb="74" eb="75">
      <t>ダイ</t>
    </rPh>
    <rPh sb="76" eb="77">
      <t>コウ</t>
    </rPh>
    <rPh sb="85" eb="87">
      <t>コウケイ</t>
    </rPh>
    <rPh sb="88" eb="89">
      <t>ゾウ</t>
    </rPh>
    <rPh sb="89" eb="90">
      <t>ケイ</t>
    </rPh>
    <rPh sb="91" eb="93">
      <t>シジ</t>
    </rPh>
    <rPh sb="96" eb="98">
      <t>バアイ</t>
    </rPh>
    <rPh sb="99" eb="100">
      <t>スミ</t>
    </rPh>
    <rPh sb="108" eb="109">
      <t>ゾウ</t>
    </rPh>
    <rPh sb="109" eb="110">
      <t>ケイ</t>
    </rPh>
    <rPh sb="110" eb="112">
      <t>コウジ</t>
    </rPh>
    <rPh sb="113" eb="114">
      <t>オコナ</t>
    </rPh>
    <phoneticPr fontId="2"/>
  </si>
  <si>
    <t xml:space="preserve">        </t>
    <phoneticPr fontId="2"/>
  </si>
  <si>
    <t xml:space="preserve">  </t>
    <phoneticPr fontId="2"/>
  </si>
  <si>
    <t>【メーター13ｍｍ用】</t>
    <phoneticPr fontId="2"/>
  </si>
  <si>
    <t>検算</t>
    <rPh sb="0" eb="2">
      <t>ケンザン</t>
    </rPh>
    <phoneticPr fontId="2"/>
  </si>
  <si>
    <t>≧ 10.0 m</t>
    <phoneticPr fontId="2"/>
  </si>
  <si>
    <t xml:space="preserve">様式第17号                      </t>
    <phoneticPr fontId="2"/>
  </si>
  <si>
    <t xml:space="preserve">様式第17号                                    </t>
    <phoneticPr fontId="2"/>
  </si>
  <si>
    <t>様式第17号の2</t>
    <rPh sb="5" eb="6">
      <t>ゴウ</t>
    </rPh>
    <phoneticPr fontId="2"/>
  </si>
  <si>
    <t>様式第17の2号</t>
    <phoneticPr fontId="2"/>
  </si>
  <si>
    <t>様式第17号の2</t>
    <rPh sb="0" eb="2">
      <t>ヨウシキ</t>
    </rPh>
    <rPh sb="2" eb="3">
      <t>ダイ</t>
    </rPh>
    <rPh sb="5" eb="6">
      <t>ゴウ</t>
    </rPh>
    <phoneticPr fontId="2"/>
  </si>
  <si>
    <t>様式第17号の3</t>
    <phoneticPr fontId="2"/>
  </si>
  <si>
    <t>様式第17号の3</t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</si>
</sst>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0.0"/>
    <numFmt numFmtId="177" formatCode="0.0000000"/>
    <numFmt numFmtId="178" formatCode="0.000000"/>
    <numFmt numFmtId="179" formatCode="##&quot;mm&quot;"/>
    <numFmt numFmtId="180" formatCode="0.00_ "/>
    <numFmt numFmtId="181" formatCode="0.0_ "/>
    <numFmt numFmtId="182" formatCode="##&quot;㎜&quot;"/>
    <numFmt numFmtId="183" formatCode="0.0_);[Red]\(0.0\)"/>
    <numFmt numFmtId="184" formatCode="0.000_ "/>
    <numFmt numFmtId="185" formatCode="0.000000_ "/>
    <numFmt numFmtId="186" formatCode="0_ "/>
    <numFmt numFmtId="187" formatCode="0.0000_ "/>
    <numFmt numFmtId="188" formatCode="0.0_ ;[Red]\-0.0\ "/>
    <numFmt numFmtId="189" formatCode="0.0000000_ "/>
    <numFmt numFmtId="190" formatCode="0_);[Red]\(0\)"/>
    <numFmt numFmtId="191" formatCode="0.00000_ "/>
    <numFmt numFmtId="192" formatCode="0.000"/>
    <numFmt numFmtId="193" formatCode="0.000_);[Red]\(0.000\)"/>
    <numFmt numFmtId="194" formatCode="0.00000"/>
    <numFmt numFmtId="195" formatCode="0.000000_);[Red]\(0.000000\)"/>
    <numFmt numFmtId="196" formatCode="0.00_);[Red]\(0.00\)"/>
  </numFmts>
  <fonts count="44" x14ac:knownFonts="1"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vertAlign val="superscript"/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80808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u/>
      <sz val="16"/>
      <name val="ＭＳ 明朝"/>
      <family val="1"/>
      <charset val="128"/>
    </font>
    <font>
      <b/>
      <u/>
      <sz val="12"/>
      <name val="ＭＳ 明朝"/>
      <family val="1"/>
      <charset val="128"/>
    </font>
    <font>
      <sz val="11"/>
      <color rgb="FFFFC000"/>
      <name val="ＭＳ 明朝"/>
      <family val="1"/>
      <charset val="128"/>
    </font>
    <font>
      <sz val="14"/>
      <name val="ＭＳ 明朝"/>
      <family val="1"/>
      <charset val="128"/>
    </font>
    <font>
      <sz val="13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u/>
      <sz val="16"/>
      <name val="ＭＳ 明朝"/>
      <family val="1"/>
      <charset val="128"/>
    </font>
    <font>
      <u/>
      <sz val="11"/>
      <name val="ＭＳ 明朝"/>
      <family val="1"/>
      <charset val="128"/>
    </font>
    <font>
      <u/>
      <sz val="12"/>
      <name val="ＭＳ 明朝"/>
      <family val="1"/>
      <charset val="128"/>
    </font>
    <font>
      <u/>
      <sz val="9"/>
      <name val="ＭＳ 明朝"/>
      <family val="1"/>
      <charset val="128"/>
    </font>
    <font>
      <sz val="11"/>
      <color theme="0" tint="-0.1499679555650502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6"/>
      <name val="ＭＳ 明朝"/>
      <family val="1"/>
      <charset val="128"/>
    </font>
    <font>
      <vertAlign val="superscript"/>
      <sz val="16"/>
      <name val="ＭＳ 明朝"/>
      <family val="1"/>
      <charset val="128"/>
    </font>
    <font>
      <u/>
      <sz val="14"/>
      <name val="ＭＳ 明朝"/>
      <family val="1"/>
      <charset val="128"/>
    </font>
    <font>
      <u/>
      <sz val="18"/>
      <name val="ＭＳ 明朝"/>
      <family val="1"/>
      <charset val="128"/>
    </font>
    <font>
      <vertAlign val="subscript"/>
      <sz val="11"/>
      <name val="ＭＳ 明朝"/>
      <family val="1"/>
      <charset val="128"/>
    </font>
    <font>
      <b/>
      <u/>
      <sz val="14"/>
      <name val="ＭＳ 明朝"/>
      <family val="1"/>
      <charset val="128"/>
    </font>
    <font>
      <sz val="7"/>
      <name val="ＭＳ 明朝"/>
      <family val="1"/>
      <charset val="128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3" tint="-0.249977111117893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3" tint="-0.249977111117893"/>
      <name val="ＭＳ 明朝"/>
      <family val="1"/>
      <charset val="128"/>
    </font>
    <font>
      <sz val="12"/>
      <color theme="3" tint="0.39994506668294322"/>
      <name val="ＭＳ 明朝"/>
      <family val="1"/>
      <charset val="128"/>
    </font>
    <font>
      <sz val="11"/>
      <color theme="3" tint="0.3999450666829432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6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 applyProtection="1">
      <alignment vertical="center"/>
    </xf>
    <xf numFmtId="0" fontId="3" fillId="0" borderId="2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7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179" fontId="3" fillId="0" borderId="27" xfId="0" applyNumberFormat="1" applyFont="1" applyBorder="1" applyAlignment="1" applyProtection="1">
      <alignment vertical="center"/>
    </xf>
    <xf numFmtId="0" fontId="3" fillId="0" borderId="43" xfId="0" applyFont="1" applyBorder="1" applyAlignment="1" applyProtection="1">
      <alignment vertical="center"/>
    </xf>
    <xf numFmtId="0" fontId="3" fillId="0" borderId="44" xfId="0" applyFont="1" applyBorder="1" applyAlignment="1" applyProtection="1">
      <alignment vertical="center"/>
    </xf>
    <xf numFmtId="0" fontId="3" fillId="0" borderId="44" xfId="0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45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26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179" fontId="3" fillId="0" borderId="18" xfId="0" applyNumberFormat="1" applyFont="1" applyBorder="1" applyAlignment="1" applyProtection="1">
      <alignment vertical="center"/>
    </xf>
    <xf numFmtId="0" fontId="3" fillId="0" borderId="6" xfId="0" applyFont="1" applyFill="1" applyBorder="1" applyAlignment="1" applyProtection="1"/>
    <xf numFmtId="176" fontId="3" fillId="0" borderId="18" xfId="0" applyNumberFormat="1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178" fontId="3" fillId="0" borderId="0" xfId="0" applyNumberFormat="1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23" xfId="0" applyFont="1" applyBorder="1" applyAlignment="1" applyProtection="1"/>
    <xf numFmtId="0" fontId="3" fillId="0" borderId="22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top"/>
    </xf>
    <xf numFmtId="0" fontId="5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top"/>
    </xf>
    <xf numFmtId="0" fontId="3" fillId="0" borderId="6" xfId="0" applyFont="1" applyFill="1" applyBorder="1" applyAlignment="1" applyProtection="1">
      <alignment vertical="top"/>
    </xf>
    <xf numFmtId="176" fontId="14" fillId="0" borderId="6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27" xfId="0" applyFont="1" applyBorder="1" applyAlignment="1" applyProtection="1">
      <alignment vertical="top"/>
    </xf>
    <xf numFmtId="182" fontId="3" fillId="0" borderId="0" xfId="0" applyNumberFormat="1" applyFont="1" applyBorder="1" applyAlignment="1" applyProtection="1">
      <alignment vertical="center"/>
    </xf>
    <xf numFmtId="179" fontId="9" fillId="0" borderId="0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vertical="center"/>
    </xf>
    <xf numFmtId="176" fontId="3" fillId="4" borderId="1" xfId="0" applyNumberFormat="1" applyFont="1" applyFill="1" applyBorder="1" applyAlignment="1" applyProtection="1">
      <alignment vertical="center"/>
    </xf>
    <xf numFmtId="176" fontId="0" fillId="0" borderId="6" xfId="0" applyNumberFormat="1" applyBorder="1" applyAlignment="1" applyProtection="1">
      <alignment vertical="top"/>
    </xf>
    <xf numFmtId="0" fontId="3" fillId="0" borderId="0" xfId="0" applyNumberFormat="1" applyFont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 applyProtection="1"/>
    <xf numFmtId="0" fontId="3" fillId="0" borderId="29" xfId="0" applyFont="1" applyBorder="1" applyAlignment="1" applyProtection="1"/>
    <xf numFmtId="0" fontId="3" fillId="0" borderId="3" xfId="0" applyFont="1" applyBorder="1" applyAlignment="1" applyProtection="1"/>
    <xf numFmtId="0" fontId="3" fillId="0" borderId="0" xfId="0" applyFont="1" applyFill="1" applyBorder="1" applyAlignment="1" applyProtection="1">
      <alignment vertical="center" wrapText="1"/>
    </xf>
    <xf numFmtId="0" fontId="3" fillId="0" borderId="0" xfId="0" quotePrefix="1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shrinkToFit="1"/>
    </xf>
    <xf numFmtId="0" fontId="3" fillId="0" borderId="62" xfId="0" applyFont="1" applyFill="1" applyBorder="1" applyAlignment="1" applyProtection="1">
      <alignment vertical="center"/>
    </xf>
    <xf numFmtId="0" fontId="3" fillId="0" borderId="44" xfId="0" applyFont="1" applyBorder="1" applyAlignment="1" applyProtection="1">
      <alignment horizontal="right" vertical="center"/>
    </xf>
    <xf numFmtId="176" fontId="3" fillId="0" borderId="64" xfId="0" applyNumberFormat="1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/>
    </xf>
    <xf numFmtId="179" fontId="3" fillId="5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shrinkToFit="1"/>
    </xf>
    <xf numFmtId="0" fontId="15" fillId="0" borderId="0" xfId="0" applyFont="1" applyAlignment="1">
      <alignment vertical="top"/>
    </xf>
    <xf numFmtId="183" fontId="10" fillId="0" borderId="60" xfId="0" applyNumberFormat="1" applyFont="1" applyFill="1" applyBorder="1" applyAlignment="1" applyProtection="1">
      <alignment vertical="center"/>
      <protection locked="0"/>
    </xf>
    <xf numFmtId="183" fontId="10" fillId="0" borderId="59" xfId="0" applyNumberFormat="1" applyFont="1" applyFill="1" applyBorder="1" applyAlignment="1" applyProtection="1">
      <alignment vertical="center"/>
      <protection locked="0"/>
    </xf>
    <xf numFmtId="183" fontId="10" fillId="0" borderId="61" xfId="0" applyNumberFormat="1" applyFont="1" applyFill="1" applyBorder="1" applyAlignment="1" applyProtection="1">
      <alignment vertical="center"/>
      <protection locked="0"/>
    </xf>
    <xf numFmtId="183" fontId="23" fillId="0" borderId="0" xfId="0" applyNumberFormat="1" applyFont="1" applyAlignment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181" fontId="25" fillId="0" borderId="6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/>
    <xf numFmtId="0" fontId="19" fillId="0" borderId="6" xfId="0" applyFont="1" applyFill="1" applyBorder="1" applyAlignment="1" applyProtection="1">
      <alignment vertical="center"/>
    </xf>
    <xf numFmtId="0" fontId="3" fillId="0" borderId="0" xfId="0" applyFont="1" applyBorder="1" applyAlignment="1">
      <alignment vertical="top"/>
    </xf>
    <xf numFmtId="181" fontId="25" fillId="0" borderId="0" xfId="0" applyNumberFormat="1" applyFont="1" applyBorder="1" applyAlignment="1" applyProtection="1">
      <alignment vertical="top"/>
    </xf>
    <xf numFmtId="0" fontId="3" fillId="6" borderId="0" xfId="0" applyFont="1" applyFill="1" applyBorder="1" applyAlignment="1" applyProtection="1"/>
    <xf numFmtId="0" fontId="26" fillId="0" borderId="0" xfId="0" applyFont="1" applyFill="1" applyBorder="1" applyAlignment="1" applyProtection="1">
      <alignment vertical="center"/>
    </xf>
    <xf numFmtId="0" fontId="26" fillId="0" borderId="25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27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27" xfId="0" applyBorder="1" applyAlignment="1" applyProtection="1">
      <alignment vertical="top"/>
    </xf>
    <xf numFmtId="0" fontId="0" fillId="0" borderId="0" xfId="0" applyProtection="1"/>
    <xf numFmtId="181" fontId="3" fillId="0" borderId="0" xfId="0" applyNumberFormat="1" applyFont="1" applyAlignment="1" applyProtection="1">
      <alignment vertical="center"/>
    </xf>
    <xf numFmtId="183" fontId="3" fillId="0" borderId="0" xfId="0" applyNumberFormat="1" applyFont="1" applyAlignment="1" applyProtection="1">
      <alignment vertical="center"/>
    </xf>
    <xf numFmtId="190" fontId="3" fillId="0" borderId="0" xfId="0" applyNumberFormat="1" applyFont="1" applyAlignment="1" applyProtection="1">
      <alignment horizontal="right" vertical="center"/>
    </xf>
    <xf numFmtId="0" fontId="0" fillId="0" borderId="0" xfId="0" applyBorder="1" applyProtection="1"/>
    <xf numFmtId="0" fontId="0" fillId="0" borderId="18" xfId="0" applyBorder="1" applyProtection="1"/>
    <xf numFmtId="0" fontId="0" fillId="0" borderId="17" xfId="0" applyBorder="1" applyProtection="1"/>
    <xf numFmtId="190" fontId="3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3" fillId="0" borderId="65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184" fontId="3" fillId="0" borderId="0" xfId="0" applyNumberFormat="1" applyFont="1" applyBorder="1" applyAlignment="1" applyProtection="1">
      <alignment vertical="center"/>
    </xf>
    <xf numFmtId="181" fontId="3" fillId="0" borderId="0" xfId="0" applyNumberFormat="1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top"/>
    </xf>
    <xf numFmtId="0" fontId="3" fillId="0" borderId="24" xfId="0" applyFont="1" applyBorder="1" applyAlignment="1" applyProtection="1"/>
    <xf numFmtId="0" fontId="3" fillId="0" borderId="3" xfId="0" applyFont="1" applyFill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0" fillId="0" borderId="0" xfId="0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shrinkToFit="1"/>
    </xf>
    <xf numFmtId="179" fontId="5" fillId="0" borderId="7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1" xfId="0" applyFont="1" applyFill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18" xfId="0" applyFont="1" applyBorder="1" applyProtection="1"/>
    <xf numFmtId="17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3" fillId="0" borderId="17" xfId="0" applyFont="1" applyBorder="1" applyProtection="1"/>
    <xf numFmtId="0" fontId="0" fillId="0" borderId="0" xfId="0" applyBorder="1" applyProtection="1">
      <protection locked="0"/>
    </xf>
    <xf numFmtId="0" fontId="0" fillId="0" borderId="6" xfId="0" applyBorder="1" applyProtection="1"/>
    <xf numFmtId="0" fontId="5" fillId="0" borderId="6" xfId="0" applyFont="1" applyBorder="1" applyProtection="1"/>
    <xf numFmtId="0" fontId="5" fillId="0" borderId="20" xfId="0" applyFont="1" applyBorder="1" applyProtection="1"/>
    <xf numFmtId="0" fontId="8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0" fillId="0" borderId="22" xfId="0" applyBorder="1" applyProtection="1"/>
    <xf numFmtId="0" fontId="0" fillId="0" borderId="20" xfId="0" applyBorder="1" applyProtection="1"/>
    <xf numFmtId="0" fontId="3" fillId="0" borderId="17" xfId="0" applyFont="1" applyBorder="1" applyAlignment="1" applyProtection="1">
      <alignment vertical="center" wrapText="1" shrinkToFit="1"/>
    </xf>
    <xf numFmtId="0" fontId="3" fillId="0" borderId="0" xfId="0" applyFont="1" applyBorder="1" applyAlignment="1" applyProtection="1">
      <alignment vertical="center" wrapText="1" shrinkToFit="1"/>
    </xf>
    <xf numFmtId="0" fontId="3" fillId="0" borderId="25" xfId="0" applyFont="1" applyBorder="1" applyAlignment="1" applyProtection="1">
      <alignment vertical="center" wrapText="1" shrinkToFit="1"/>
    </xf>
    <xf numFmtId="0" fontId="6" fillId="0" borderId="0" xfId="0" applyFont="1" applyBorder="1" applyProtection="1"/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0" xfId="0" applyFont="1" applyProtection="1"/>
    <xf numFmtId="179" fontId="6" fillId="0" borderId="0" xfId="0" applyNumberFormat="1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6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6" fillId="0" borderId="7" xfId="0" applyFont="1" applyBorder="1" applyAlignment="1" applyProtection="1">
      <alignment vertical="top"/>
    </xf>
    <xf numFmtId="193" fontId="0" fillId="0" borderId="6" xfId="0" applyNumberFormat="1" applyBorder="1" applyAlignment="1" applyProtection="1"/>
    <xf numFmtId="0" fontId="0" fillId="0" borderId="6" xfId="0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/>
    <xf numFmtId="0" fontId="3" fillId="0" borderId="25" xfId="0" applyFont="1" applyBorder="1" applyAlignment="1" applyProtection="1"/>
    <xf numFmtId="0" fontId="6" fillId="0" borderId="16" xfId="0" applyFont="1" applyBorder="1" applyAlignment="1" applyProtection="1">
      <alignment vertical="center"/>
    </xf>
    <xf numFmtId="0" fontId="3" fillId="0" borderId="63" xfId="0" applyFont="1" applyBorder="1" applyAlignment="1" applyProtection="1">
      <alignment vertical="center"/>
    </xf>
    <xf numFmtId="0" fontId="3" fillId="0" borderId="15" xfId="0" applyFont="1" applyBorder="1" applyProtection="1"/>
    <xf numFmtId="0" fontId="3" fillId="0" borderId="16" xfId="0" applyFont="1" applyBorder="1" applyProtection="1"/>
    <xf numFmtId="0" fontId="3" fillId="0" borderId="5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Border="1" applyProtection="1"/>
    <xf numFmtId="0" fontId="3" fillId="0" borderId="15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6" xfId="0" applyFont="1" applyBorder="1" applyProtection="1"/>
    <xf numFmtId="0" fontId="0" fillId="0" borderId="5" xfId="0" applyBorder="1" applyProtection="1"/>
    <xf numFmtId="193" fontId="5" fillId="0" borderId="0" xfId="0" applyNumberFormat="1" applyFont="1" applyBorder="1" applyAlignment="1" applyProtection="1">
      <alignment vertical="top"/>
    </xf>
    <xf numFmtId="193" fontId="3" fillId="0" borderId="0" xfId="0" applyNumberFormat="1" applyFont="1" applyBorder="1" applyAlignment="1" applyProtection="1">
      <alignment vertical="center"/>
    </xf>
    <xf numFmtId="194" fontId="3" fillId="0" borderId="0" xfId="0" applyNumberFormat="1" applyFont="1" applyBorder="1" applyAlignment="1" applyProtection="1">
      <alignment horizontal="center" vertical="center" shrinkToFit="1"/>
    </xf>
    <xf numFmtId="193" fontId="6" fillId="0" borderId="0" xfId="0" applyNumberFormat="1" applyFont="1" applyBorder="1" applyAlignment="1" applyProtection="1">
      <alignment vertical="center"/>
    </xf>
    <xf numFmtId="0" fontId="31" fillId="0" borderId="0" xfId="0" applyFont="1" applyBorder="1" applyProtection="1"/>
    <xf numFmtId="0" fontId="8" fillId="0" borderId="0" xfId="0" applyFont="1" applyBorder="1" applyAlignment="1" applyProtection="1">
      <alignment vertical="top"/>
    </xf>
    <xf numFmtId="0" fontId="5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Protection="1"/>
    <xf numFmtId="0" fontId="0" fillId="0" borderId="8" xfId="0" applyBorder="1" applyProtection="1"/>
    <xf numFmtId="0" fontId="8" fillId="0" borderId="0" xfId="0" applyFont="1" applyAlignment="1" applyProtection="1">
      <alignment horizontal="center"/>
    </xf>
    <xf numFmtId="0" fontId="3" fillId="0" borderId="30" xfId="0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7" xfId="0" applyFont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8" fillId="0" borderId="16" xfId="0" applyFont="1" applyBorder="1" applyAlignment="1" applyProtection="1">
      <alignment vertical="center"/>
    </xf>
    <xf numFmtId="181" fontId="3" fillId="0" borderId="1" xfId="0" applyNumberFormat="1" applyFont="1" applyBorder="1" applyAlignment="1" applyProtection="1">
      <alignment horizontal="center" vertical="center"/>
    </xf>
    <xf numFmtId="179" fontId="3" fillId="0" borderId="0" xfId="0" applyNumberFormat="1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/>
    </xf>
    <xf numFmtId="186" fontId="3" fillId="0" borderId="0" xfId="0" applyNumberFormat="1" applyFont="1" applyBorder="1" applyAlignment="1" applyProtection="1">
      <alignment horizontal="left" vertical="center"/>
    </xf>
    <xf numFmtId="184" fontId="0" fillId="0" borderId="0" xfId="0" applyNumberFormat="1" applyBorder="1" applyAlignment="1" applyProtection="1">
      <alignment horizontal="left" vertical="center"/>
    </xf>
    <xf numFmtId="187" fontId="3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191" fontId="3" fillId="0" borderId="0" xfId="0" applyNumberFormat="1" applyFont="1" applyBorder="1" applyAlignment="1" applyProtection="1">
      <alignment horizontal="left" vertical="center"/>
    </xf>
    <xf numFmtId="184" fontId="3" fillId="0" borderId="0" xfId="0" applyNumberFormat="1" applyFont="1" applyBorder="1" applyAlignment="1" applyProtection="1">
      <alignment horizontal="left" vertical="center"/>
    </xf>
    <xf numFmtId="179" fontId="5" fillId="0" borderId="6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176" fontId="3" fillId="0" borderId="0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/>
    <xf numFmtId="0" fontId="3" fillId="0" borderId="66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179" fontId="3" fillId="0" borderId="3" xfId="0" applyNumberFormat="1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0" fillId="0" borderId="27" xfId="0" applyFont="1" applyFill="1" applyBorder="1" applyAlignment="1" applyProtection="1">
      <alignment vertical="center"/>
    </xf>
    <xf numFmtId="0" fontId="21" fillId="0" borderId="27" xfId="0" applyFont="1" applyFill="1" applyBorder="1" applyAlignment="1" applyProtection="1">
      <alignment vertical="center"/>
    </xf>
    <xf numFmtId="0" fontId="0" fillId="0" borderId="1" xfId="0" applyBorder="1" applyProtection="1"/>
    <xf numFmtId="0" fontId="33" fillId="0" borderId="0" xfId="0" applyFont="1" applyBorder="1" applyProtection="1"/>
    <xf numFmtId="192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181" fontId="19" fillId="0" borderId="6" xfId="0" applyNumberFormat="1" applyFont="1" applyFill="1" applyBorder="1" applyAlignment="1" applyProtection="1">
      <alignment vertical="center"/>
    </xf>
    <xf numFmtId="179" fontId="3" fillId="0" borderId="0" xfId="0" applyNumberFormat="1" applyFont="1" applyBorder="1" applyAlignment="1" applyProtection="1">
      <alignment horizontal="center" vertical="center"/>
    </xf>
    <xf numFmtId="192" fontId="3" fillId="0" borderId="0" xfId="0" applyNumberFormat="1" applyFont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186" fontId="10" fillId="0" borderId="59" xfId="0" applyNumberFormat="1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top" wrapText="1"/>
    </xf>
    <xf numFmtId="0" fontId="15" fillId="0" borderId="0" xfId="0" applyFont="1" applyAlignment="1" applyProtection="1">
      <alignment vertical="top"/>
    </xf>
    <xf numFmtId="0" fontId="3" fillId="0" borderId="0" xfId="0" applyNumberFormat="1" applyFont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vertical="center"/>
    </xf>
    <xf numFmtId="56" fontId="3" fillId="0" borderId="32" xfId="0" applyNumberFormat="1" applyFont="1" applyBorder="1" applyAlignment="1" applyProtection="1">
      <alignment vertical="center"/>
    </xf>
    <xf numFmtId="0" fontId="0" fillId="0" borderId="16" xfId="0" applyBorder="1"/>
    <xf numFmtId="0" fontId="10" fillId="0" borderId="1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0" fillId="0" borderId="27" xfId="0" applyBorder="1" applyAlignment="1" applyProtection="1"/>
    <xf numFmtId="183" fontId="24" fillId="0" borderId="1" xfId="0" applyNumberFormat="1" applyFont="1" applyBorder="1" applyAlignment="1" applyProtection="1">
      <alignment horizontal="right"/>
      <protection locked="0"/>
    </xf>
    <xf numFmtId="183" fontId="24" fillId="0" borderId="1" xfId="0" applyNumberFormat="1" applyFont="1" applyBorder="1" applyProtection="1">
      <protection locked="0"/>
    </xf>
    <xf numFmtId="0" fontId="24" fillId="0" borderId="1" xfId="0" applyNumberFormat="1" applyFont="1" applyBorder="1" applyAlignment="1" applyProtection="1">
      <alignment horizontal="right"/>
      <protection locked="0"/>
    </xf>
    <xf numFmtId="0" fontId="24" fillId="0" borderId="1" xfId="0" applyNumberFormat="1" applyFont="1" applyBorder="1" applyProtection="1">
      <protection locked="0"/>
    </xf>
    <xf numFmtId="0" fontId="0" fillId="0" borderId="2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8" fillId="0" borderId="1" xfId="0" applyFont="1" applyBorder="1" applyAlignment="1" applyProtection="1">
      <alignment horizontal="center" vertical="center"/>
    </xf>
    <xf numFmtId="0" fontId="38" fillId="4" borderId="1" xfId="0" applyFont="1" applyFill="1" applyBorder="1" applyAlignment="1" applyProtection="1">
      <alignment horizontal="right" vertical="center"/>
    </xf>
    <xf numFmtId="0" fontId="38" fillId="4" borderId="1" xfId="0" applyFont="1" applyFill="1" applyBorder="1" applyAlignment="1" applyProtection="1">
      <alignment horizontal="center" vertical="center"/>
    </xf>
    <xf numFmtId="0" fontId="38" fillId="0" borderId="1" xfId="0" quotePrefix="1" applyNumberFormat="1" applyFont="1" applyBorder="1" applyAlignment="1" applyProtection="1">
      <alignment horizontal="right" vertical="center"/>
    </xf>
    <xf numFmtId="0" fontId="38" fillId="2" borderId="1" xfId="0" applyFont="1" applyFill="1" applyBorder="1" applyAlignment="1" applyProtection="1">
      <alignment horizontal="center" vertical="center" shrinkToFit="1"/>
    </xf>
    <xf numFmtId="186" fontId="38" fillId="0" borderId="0" xfId="0" applyNumberFormat="1" applyFont="1" applyAlignment="1" applyProtection="1">
      <alignment vertical="center"/>
    </xf>
    <xf numFmtId="183" fontId="38" fillId="0" borderId="0" xfId="0" applyNumberFormat="1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top"/>
    </xf>
    <xf numFmtId="183" fontId="38" fillId="0" borderId="0" xfId="0" applyNumberFormat="1" applyFont="1" applyAlignment="1" applyProtection="1">
      <alignment vertical="top"/>
    </xf>
    <xf numFmtId="181" fontId="38" fillId="0" borderId="0" xfId="0" applyNumberFormat="1" applyFont="1" applyAlignment="1" applyProtection="1">
      <alignment vertical="center"/>
    </xf>
    <xf numFmtId="0" fontId="38" fillId="0" borderId="0" xfId="0" applyNumberFormat="1" applyFont="1" applyAlignment="1" applyProtection="1">
      <alignment vertical="center"/>
    </xf>
    <xf numFmtId="0" fontId="0" fillId="0" borderId="0" xfId="0" applyProtection="1">
      <protection hidden="1"/>
    </xf>
    <xf numFmtId="0" fontId="3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9" fillId="0" borderId="0" xfId="0" applyFont="1" applyAlignment="1">
      <alignment vertical="center" wrapText="1"/>
    </xf>
    <xf numFmtId="180" fontId="0" fillId="0" borderId="0" xfId="0" applyNumberFormat="1" applyProtection="1"/>
    <xf numFmtId="180" fontId="0" fillId="0" borderId="0" xfId="0" applyNumberFormat="1" applyBorder="1" applyProtection="1"/>
    <xf numFmtId="0" fontId="6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</xf>
    <xf numFmtId="0" fontId="3" fillId="0" borderId="6" xfId="0" quotePrefix="1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179" fontId="3" fillId="0" borderId="3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8" fillId="3" borderId="1" xfId="0" applyFont="1" applyFill="1" applyBorder="1" applyAlignment="1" applyProtection="1">
      <alignment horizontal="distributed" vertical="center" justifyLastLine="1"/>
    </xf>
    <xf numFmtId="0" fontId="3" fillId="0" borderId="51" xfId="0" applyFont="1" applyBorder="1" applyAlignment="1" applyProtection="1"/>
    <xf numFmtId="0" fontId="3" fillId="0" borderId="52" xfId="0" applyFont="1" applyBorder="1" applyAlignment="1" applyProtection="1"/>
    <xf numFmtId="0" fontId="3" fillId="0" borderId="41" xfId="0" applyFont="1" applyBorder="1" applyAlignment="1" applyProtection="1"/>
    <xf numFmtId="0" fontId="21" fillId="7" borderId="52" xfId="0" applyFont="1" applyFill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186" fontId="3" fillId="0" borderId="52" xfId="0" applyNumberFormat="1" applyFont="1" applyFill="1" applyBorder="1" applyAlignment="1" applyProtection="1"/>
    <xf numFmtId="186" fontId="3" fillId="0" borderId="41" xfId="0" applyNumberFormat="1" applyFont="1" applyFill="1" applyBorder="1" applyAlignment="1" applyProtection="1"/>
    <xf numFmtId="0" fontId="3" fillId="0" borderId="7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0" fillId="8" borderId="27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30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3" fillId="0" borderId="29" xfId="0" applyFont="1" applyBorder="1" applyAlignment="1" applyProtection="1">
      <alignment horizontal="left"/>
    </xf>
    <xf numFmtId="186" fontId="18" fillId="0" borderId="16" xfId="0" applyNumberFormat="1" applyFont="1" applyFill="1" applyBorder="1" applyAlignment="1" applyProtection="1">
      <alignment horizontal="center" vertical="center"/>
    </xf>
    <xf numFmtId="0" fontId="3" fillId="0" borderId="35" xfId="0" applyFont="1" applyBorder="1" applyAlignment="1" applyProtection="1"/>
    <xf numFmtId="0" fontId="3" fillId="0" borderId="1" xfId="0" applyFont="1" applyBorder="1" applyAlignment="1" applyProtection="1"/>
    <xf numFmtId="0" fontId="3" fillId="0" borderId="15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shrinkToFit="1"/>
    </xf>
    <xf numFmtId="0" fontId="3" fillId="0" borderId="15" xfId="0" applyFont="1" applyBorder="1" applyAlignment="1" applyProtection="1">
      <alignment horizontal="center" shrinkToFit="1"/>
    </xf>
    <xf numFmtId="0" fontId="3" fillId="0" borderId="16" xfId="0" applyFont="1" applyBorder="1" applyAlignment="1" applyProtection="1">
      <alignment horizontal="center" shrinkToFit="1"/>
    </xf>
    <xf numFmtId="0" fontId="3" fillId="0" borderId="63" xfId="0" applyFont="1" applyBorder="1" applyAlignment="1" applyProtection="1">
      <alignment horizontal="center" shrinkToFi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181" fontId="3" fillId="0" borderId="0" xfId="0" applyNumberFormat="1" applyFont="1" applyFill="1" applyBorder="1" applyAlignment="1" applyProtection="1">
      <alignment horizontal="center" vertical="center" shrinkToFit="1"/>
    </xf>
    <xf numFmtId="0" fontId="3" fillId="0" borderId="46" xfId="0" applyFont="1" applyBorder="1" applyAlignment="1" applyProtection="1"/>
    <xf numFmtId="0" fontId="3" fillId="0" borderId="47" xfId="0" applyFont="1" applyBorder="1" applyAlignment="1" applyProtection="1"/>
    <xf numFmtId="0" fontId="3" fillId="0" borderId="48" xfId="0" applyFont="1" applyBorder="1" applyAlignment="1" applyProtection="1"/>
    <xf numFmtId="0" fontId="21" fillId="7" borderId="47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/>
    </xf>
    <xf numFmtId="0" fontId="3" fillId="0" borderId="48" xfId="0" applyFont="1" applyBorder="1" applyAlignment="1" applyProtection="1">
      <alignment horizontal="center"/>
    </xf>
    <xf numFmtId="186" fontId="3" fillId="0" borderId="47" xfId="0" applyNumberFormat="1" applyFont="1" applyFill="1" applyBorder="1" applyAlignment="1" applyProtection="1"/>
    <xf numFmtId="186" fontId="3" fillId="0" borderId="48" xfId="0" applyNumberFormat="1" applyFont="1" applyFill="1" applyBorder="1" applyAlignment="1" applyProtection="1"/>
    <xf numFmtId="0" fontId="3" fillId="0" borderId="3" xfId="0" applyFont="1" applyBorder="1" applyAlignment="1" applyProtection="1">
      <alignment horizontal="center" vertical="top"/>
    </xf>
    <xf numFmtId="0" fontId="17" fillId="0" borderId="3" xfId="0" applyFont="1" applyBorder="1" applyAlignment="1" applyProtection="1">
      <alignment horizontal="center" vertical="center" justifyLastLine="1"/>
    </xf>
    <xf numFmtId="0" fontId="3" fillId="0" borderId="6" xfId="0" applyFont="1" applyBorder="1" applyAlignment="1" applyProtection="1">
      <alignment horizontal="center"/>
    </xf>
    <xf numFmtId="186" fontId="3" fillId="0" borderId="3" xfId="0" applyNumberFormat="1" applyFont="1" applyFill="1" applyBorder="1" applyAlignment="1" applyProtection="1">
      <alignment horizontal="center" vertical="center" wrapText="1"/>
    </xf>
    <xf numFmtId="186" fontId="3" fillId="0" borderId="6" xfId="0" applyNumberFormat="1" applyFont="1" applyFill="1" applyBorder="1" applyAlignment="1" applyProtection="1">
      <alignment horizontal="center"/>
    </xf>
    <xf numFmtId="186" fontId="20" fillId="8" borderId="0" xfId="0" applyNumberFormat="1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shrinkToFit="1"/>
    </xf>
    <xf numFmtId="180" fontId="33" fillId="0" borderId="0" xfId="0" applyNumberFormat="1" applyFont="1" applyFill="1" applyBorder="1" applyAlignment="1" applyProtection="1">
      <alignment horizontal="center" vertical="center"/>
    </xf>
    <xf numFmtId="0" fontId="3" fillId="0" borderId="49" xfId="0" applyFont="1" applyBorder="1" applyAlignment="1" applyProtection="1"/>
    <xf numFmtId="0" fontId="3" fillId="0" borderId="50" xfId="0" applyFont="1" applyBorder="1" applyAlignment="1" applyProtection="1"/>
    <xf numFmtId="181" fontId="12" fillId="0" borderId="0" xfId="0" applyNumberFormat="1" applyFont="1" applyFill="1" applyBorder="1" applyAlignment="1" applyProtection="1">
      <alignment horizontal="center" vertical="center"/>
    </xf>
    <xf numFmtId="0" fontId="3" fillId="0" borderId="55" xfId="0" applyFont="1" applyBorder="1" applyAlignment="1" applyProtection="1"/>
    <xf numFmtId="0" fontId="3" fillId="0" borderId="56" xfId="0" applyFont="1" applyBorder="1" applyAlignment="1" applyProtection="1"/>
    <xf numFmtId="0" fontId="3" fillId="0" borderId="57" xfId="0" applyFont="1" applyBorder="1" applyAlignment="1" applyProtection="1"/>
    <xf numFmtId="0" fontId="21" fillId="8" borderId="56" xfId="0" applyFont="1" applyFill="1" applyBorder="1" applyAlignment="1" applyProtection="1">
      <alignment horizontal="center" vertical="center"/>
      <protection locked="0"/>
    </xf>
    <xf numFmtId="0" fontId="21" fillId="8" borderId="57" xfId="0" applyFont="1" applyFill="1" applyBorder="1" applyAlignment="1" applyProtection="1">
      <alignment horizontal="center" vertical="center"/>
      <protection locked="0"/>
    </xf>
    <xf numFmtId="0" fontId="21" fillId="8" borderId="34" xfId="0" applyFont="1" applyFill="1" applyBorder="1" applyAlignment="1" applyProtection="1">
      <alignment horizontal="center" vertical="center"/>
      <protection locked="0"/>
    </xf>
    <xf numFmtId="186" fontId="3" fillId="0" borderId="56" xfId="0" applyNumberFormat="1" applyFont="1" applyFill="1" applyBorder="1" applyAlignment="1" applyProtection="1">
      <alignment vertical="center"/>
    </xf>
    <xf numFmtId="185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79" fontId="3" fillId="0" borderId="3" xfId="0" applyNumberFormat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179" fontId="3" fillId="0" borderId="0" xfId="0" applyNumberFormat="1" applyFont="1" applyBorder="1" applyAlignment="1" applyProtection="1">
      <alignment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center"/>
    </xf>
    <xf numFmtId="0" fontId="3" fillId="0" borderId="3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shrinkToFit="1"/>
    </xf>
    <xf numFmtId="0" fontId="3" fillId="0" borderId="8" xfId="0" applyFont="1" applyBorder="1" applyAlignment="1" applyProtection="1">
      <alignment horizontal="center" shrinkToFit="1"/>
    </xf>
    <xf numFmtId="0" fontId="3" fillId="0" borderId="5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176" fontId="3" fillId="0" borderId="9" xfId="0" applyNumberFormat="1" applyFont="1" applyFill="1" applyBorder="1" applyAlignment="1" applyProtection="1">
      <alignment vertical="center"/>
    </xf>
    <xf numFmtId="186" fontId="20" fillId="7" borderId="9" xfId="0" applyNumberFormat="1" applyFont="1" applyFill="1" applyBorder="1" applyAlignment="1" applyProtection="1">
      <alignment horizontal="center" vertical="center"/>
      <protection locked="0"/>
    </xf>
    <xf numFmtId="183" fontId="6" fillId="0" borderId="9" xfId="0" applyNumberFormat="1" applyFont="1" applyFill="1" applyBorder="1" applyAlignment="1" applyProtection="1">
      <alignment vertical="center"/>
    </xf>
    <xf numFmtId="183" fontId="6" fillId="0" borderId="40" xfId="0" applyNumberFormat="1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176" fontId="3" fillId="0" borderId="6" xfId="0" applyNumberFormat="1" applyFont="1" applyFill="1" applyBorder="1" applyAlignment="1" applyProtection="1">
      <alignment vertical="center"/>
    </xf>
    <xf numFmtId="186" fontId="20" fillId="7" borderId="6" xfId="0" applyNumberFormat="1" applyFont="1" applyFill="1" applyBorder="1" applyAlignment="1" applyProtection="1">
      <alignment horizontal="center" vertical="center"/>
      <protection locked="0"/>
    </xf>
    <xf numFmtId="183" fontId="6" fillId="0" borderId="6" xfId="0" applyNumberFormat="1" applyFont="1" applyFill="1" applyBorder="1" applyAlignment="1" applyProtection="1">
      <alignment vertical="center"/>
    </xf>
    <xf numFmtId="183" fontId="6" fillId="0" borderId="12" xfId="0" applyNumberFormat="1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 shrinkToFit="1"/>
    </xf>
    <xf numFmtId="176" fontId="3" fillId="0" borderId="0" xfId="0" applyNumberFormat="1" applyFont="1" applyFill="1" applyBorder="1" applyAlignment="1" applyProtection="1">
      <alignment vertical="center"/>
    </xf>
    <xf numFmtId="186" fontId="20" fillId="7" borderId="0" xfId="0" applyNumberFormat="1" applyFont="1" applyFill="1" applyBorder="1" applyAlignment="1" applyProtection="1">
      <alignment horizontal="center" vertical="center"/>
      <protection locked="0"/>
    </xf>
    <xf numFmtId="183" fontId="6" fillId="0" borderId="21" xfId="0" applyNumberFormat="1" applyFont="1" applyFill="1" applyBorder="1" applyAlignment="1" applyProtection="1">
      <alignment vertical="center"/>
    </xf>
    <xf numFmtId="181" fontId="19" fillId="7" borderId="44" xfId="0" applyNumberFormat="1" applyFont="1" applyFill="1" applyBorder="1" applyAlignment="1" applyProtection="1">
      <alignment horizontal="right" vertical="center"/>
      <protection locked="0"/>
    </xf>
    <xf numFmtId="181" fontId="16" fillId="0" borderId="44" xfId="0" applyNumberFormat="1" applyFont="1" applyFill="1" applyBorder="1" applyAlignment="1" applyProtection="1">
      <alignment horizontal="right" vertical="center"/>
    </xf>
    <xf numFmtId="181" fontId="18" fillId="0" borderId="13" xfId="0" applyNumberFormat="1" applyFont="1" applyFill="1" applyBorder="1" applyAlignment="1" applyProtection="1">
      <alignment horizontal="center" vertical="center"/>
    </xf>
    <xf numFmtId="183" fontId="6" fillId="0" borderId="0" xfId="0" applyNumberFormat="1" applyFont="1" applyFill="1" applyBorder="1" applyAlignment="1" applyProtection="1">
      <alignment vertical="center"/>
    </xf>
    <xf numFmtId="183" fontId="6" fillId="0" borderId="10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81" fontId="22" fillId="7" borderId="0" xfId="0" applyNumberFormat="1" applyFont="1" applyFill="1" applyBorder="1" applyAlignment="1" applyProtection="1">
      <alignment vertical="center"/>
      <protection locked="0"/>
    </xf>
    <xf numFmtId="181" fontId="22" fillId="7" borderId="18" xfId="0" applyNumberFormat="1" applyFont="1" applyFill="1" applyBorder="1" applyAlignment="1" applyProtection="1">
      <alignment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183" fontId="16" fillId="0" borderId="6" xfId="0" applyNumberFormat="1" applyFont="1" applyFill="1" applyBorder="1" applyAlignment="1" applyProtection="1">
      <alignment horizontal="right" vertical="center"/>
    </xf>
    <xf numFmtId="183" fontId="16" fillId="0" borderId="20" xfId="0" applyNumberFormat="1" applyFont="1" applyFill="1" applyBorder="1" applyAlignment="1" applyProtection="1">
      <alignment horizontal="right" vertical="center"/>
    </xf>
    <xf numFmtId="181" fontId="3" fillId="0" borderId="6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vertical="center"/>
    </xf>
    <xf numFmtId="186" fontId="3" fillId="0" borderId="3" xfId="0" applyNumberFormat="1" applyFont="1" applyFill="1" applyBorder="1" applyAlignment="1" applyProtection="1">
      <alignment horizontal="center" vertical="center"/>
    </xf>
    <xf numFmtId="186" fontId="3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186" fontId="16" fillId="0" borderId="15" xfId="0" applyNumberFormat="1" applyFont="1" applyFill="1" applyBorder="1" applyAlignment="1" applyProtection="1">
      <alignment horizontal="right" vertical="center"/>
    </xf>
    <xf numFmtId="186" fontId="16" fillId="0" borderId="16" xfId="0" applyNumberFormat="1" applyFont="1" applyFill="1" applyBorder="1" applyAlignment="1" applyProtection="1">
      <alignment horizontal="right" vertical="center"/>
    </xf>
    <xf numFmtId="186" fontId="0" fillId="0" borderId="16" xfId="0" applyNumberFormat="1" applyFont="1" applyFill="1" applyBorder="1" applyAlignment="1" applyProtection="1">
      <alignment horizontal="center" vertical="center"/>
    </xf>
    <xf numFmtId="186" fontId="0" fillId="0" borderId="63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top"/>
    </xf>
    <xf numFmtId="0" fontId="3" fillId="0" borderId="42" xfId="0" applyFont="1" applyFill="1" applyBorder="1" applyAlignment="1" applyProtection="1">
      <alignment horizontal="center" vertical="top"/>
    </xf>
    <xf numFmtId="0" fontId="3" fillId="0" borderId="11" xfId="0" applyFont="1" applyFill="1" applyBorder="1" applyAlignment="1" applyProtection="1">
      <alignment horizontal="center" vertical="center"/>
    </xf>
    <xf numFmtId="185" fontId="3" fillId="0" borderId="6" xfId="0" applyNumberFormat="1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vertical="center"/>
    </xf>
    <xf numFmtId="176" fontId="3" fillId="0" borderId="15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63" xfId="0" applyNumberFormat="1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2" xfId="0" applyFont="1" applyFill="1" applyBorder="1" applyAlignment="1" applyProtection="1">
      <alignment horizontal="center"/>
    </xf>
    <xf numFmtId="184" fontId="3" fillId="0" borderId="3" xfId="0" applyNumberFormat="1" applyFont="1" applyFill="1" applyBorder="1" applyAlignment="1" applyProtection="1">
      <alignment horizontal="center" vertical="top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24" fillId="0" borderId="17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24" fillId="0" borderId="10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0" fontId="6" fillId="0" borderId="1" xfId="0" applyFont="1" applyBorder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top"/>
    </xf>
    <xf numFmtId="0" fontId="8" fillId="3" borderId="1" xfId="0" applyFont="1" applyFill="1" applyBorder="1" applyAlignment="1" applyProtection="1">
      <alignment vertical="center" textRotation="255"/>
    </xf>
    <xf numFmtId="181" fontId="12" fillId="0" borderId="0" xfId="0" applyNumberFormat="1" applyFont="1" applyFill="1" applyBorder="1" applyAlignment="1" applyProtection="1">
      <alignment horizontal="left" vertical="center"/>
    </xf>
    <xf numFmtId="189" fontId="3" fillId="0" borderId="3" xfId="0" applyNumberFormat="1" applyFont="1" applyFill="1" applyBorder="1" applyAlignment="1" applyProtection="1">
      <alignment horizontal="center" vertical="top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184" fontId="3" fillId="0" borderId="0" xfId="0" applyNumberFormat="1" applyFont="1" applyFill="1" applyBorder="1" applyAlignment="1" applyProtection="1">
      <alignment horizontal="left" vertical="top"/>
    </xf>
    <xf numFmtId="0" fontId="3" fillId="0" borderId="2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 vertical="center"/>
    </xf>
    <xf numFmtId="187" fontId="3" fillId="0" borderId="0" xfId="0" applyNumberFormat="1" applyFont="1" applyFill="1" applyBorder="1" applyAlignment="1" applyProtection="1">
      <alignment horizontal="left" vertical="center"/>
    </xf>
    <xf numFmtId="187" fontId="3" fillId="0" borderId="0" xfId="0" applyNumberFormat="1" applyFont="1" applyAlignment="1" applyProtection="1">
      <alignment horizontal="center" vertical="center"/>
    </xf>
    <xf numFmtId="187" fontId="3" fillId="0" borderId="25" xfId="0" applyNumberFormat="1" applyFont="1" applyBorder="1" applyAlignment="1" applyProtection="1">
      <alignment horizontal="center" vertical="center"/>
    </xf>
    <xf numFmtId="184" fontId="3" fillId="0" borderId="6" xfId="0" applyNumberFormat="1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180" fontId="3" fillId="0" borderId="13" xfId="0" applyNumberFormat="1" applyFont="1" applyFill="1" applyBorder="1" applyAlignment="1" applyProtection="1">
      <alignment horizontal="center" vertical="center"/>
    </xf>
    <xf numFmtId="184" fontId="3" fillId="0" borderId="0" xfId="0" applyNumberFormat="1" applyFont="1" applyFill="1" applyBorder="1" applyAlignment="1" applyProtection="1">
      <alignment horizontal="left" vertical="center"/>
    </xf>
    <xf numFmtId="187" fontId="3" fillId="0" borderId="0" xfId="0" applyNumberFormat="1" applyFont="1" applyFill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40" fillId="0" borderId="3" xfId="0" applyFont="1" applyFill="1" applyBorder="1" applyAlignment="1" applyProtection="1">
      <alignment horizontal="left" vertical="center"/>
    </xf>
    <xf numFmtId="0" fontId="40" fillId="0" borderId="19" xfId="0" applyFont="1" applyFill="1" applyBorder="1" applyAlignment="1" applyProtection="1">
      <alignment horizontal="left" vertical="center"/>
    </xf>
    <xf numFmtId="180" fontId="19" fillId="7" borderId="6" xfId="0" applyNumberFormat="1" applyFont="1" applyFill="1" applyBorder="1" applyAlignment="1" applyProtection="1">
      <alignment horizontal="center" vertical="center"/>
      <protection locked="0"/>
    </xf>
    <xf numFmtId="181" fontId="25" fillId="0" borderId="6" xfId="0" applyNumberFormat="1" applyFont="1" applyBorder="1" applyAlignment="1" applyProtection="1">
      <alignment horizontal="center" vertical="top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3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Alignment="1">
      <alignment vertical="top"/>
    </xf>
    <xf numFmtId="0" fontId="10" fillId="0" borderId="3" xfId="0" applyFont="1" applyBorder="1" applyAlignment="1" applyProtection="1">
      <alignment horizontal="left" vertical="center"/>
    </xf>
    <xf numFmtId="0" fontId="10" fillId="0" borderId="19" xfId="0" applyFont="1" applyBorder="1" applyAlignment="1" applyProtection="1">
      <alignment horizontal="left" vertical="center"/>
    </xf>
    <xf numFmtId="183" fontId="3" fillId="0" borderId="6" xfId="0" applyNumberFormat="1" applyFont="1" applyFill="1" applyBorder="1" applyAlignment="1" applyProtection="1">
      <alignment horizontal="center" vertical="top"/>
    </xf>
    <xf numFmtId="183" fontId="20" fillId="8" borderId="6" xfId="0" applyNumberFormat="1" applyFont="1" applyFill="1" applyBorder="1" applyAlignment="1" applyProtection="1">
      <alignment horizontal="center" vertical="top"/>
      <protection locked="0"/>
    </xf>
    <xf numFmtId="183" fontId="20" fillId="7" borderId="6" xfId="0" applyNumberFormat="1" applyFont="1" applyFill="1" applyBorder="1" applyAlignment="1" applyProtection="1">
      <alignment horizontal="center" vertical="top"/>
      <protection locked="0"/>
    </xf>
    <xf numFmtId="181" fontId="3" fillId="0" borderId="6" xfId="0" applyNumberFormat="1" applyFont="1" applyFill="1" applyBorder="1" applyAlignment="1" applyProtection="1">
      <alignment horizontal="center" vertical="top"/>
    </xf>
    <xf numFmtId="188" fontId="18" fillId="0" borderId="6" xfId="0" applyNumberFormat="1" applyFont="1" applyFill="1" applyBorder="1" applyAlignment="1" applyProtection="1">
      <alignment horizontal="center" vertical="top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7" xfId="0" applyFont="1" applyBorder="1" applyAlignment="1" applyProtection="1">
      <alignment horizontal="left" vertical="top"/>
      <protection locked="0"/>
    </xf>
    <xf numFmtId="0" fontId="43" fillId="0" borderId="2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181" fontId="22" fillId="8" borderId="0" xfId="0" applyNumberFormat="1" applyFont="1" applyFill="1" applyBorder="1" applyAlignment="1" applyProtection="1">
      <alignment vertical="center"/>
      <protection locked="0"/>
    </xf>
    <xf numFmtId="181" fontId="22" fillId="8" borderId="18" xfId="0" applyNumberFormat="1" applyFont="1" applyFill="1" applyBorder="1" applyAlignment="1" applyProtection="1">
      <alignment vertical="center"/>
      <protection locked="0"/>
    </xf>
    <xf numFmtId="188" fontId="18" fillId="8" borderId="6" xfId="0" applyNumberFormat="1" applyFont="1" applyFill="1" applyBorder="1" applyAlignment="1" applyProtection="1">
      <alignment horizontal="center" vertical="top"/>
    </xf>
    <xf numFmtId="186" fontId="20" fillId="9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181" fontId="3" fillId="8" borderId="6" xfId="0" applyNumberFormat="1" applyFont="1" applyFill="1" applyBorder="1" applyAlignment="1" applyProtection="1">
      <alignment horizontal="center" vertical="top"/>
    </xf>
    <xf numFmtId="183" fontId="3" fillId="9" borderId="6" xfId="0" applyNumberFormat="1" applyFont="1" applyFill="1" applyBorder="1" applyAlignment="1" applyProtection="1">
      <alignment horizontal="center" vertical="top"/>
    </xf>
    <xf numFmtId="183" fontId="20" fillId="9" borderId="6" xfId="0" applyNumberFormat="1" applyFont="1" applyFill="1" applyBorder="1" applyAlignment="1" applyProtection="1">
      <alignment horizontal="center" vertical="top"/>
      <protection locked="0"/>
    </xf>
    <xf numFmtId="180" fontId="19" fillId="9" borderId="6" xfId="0" applyNumberFormat="1" applyFont="1" applyFill="1" applyBorder="1" applyAlignment="1" applyProtection="1">
      <alignment horizontal="center" vertical="center"/>
      <protection locked="0"/>
    </xf>
    <xf numFmtId="186" fontId="20" fillId="9" borderId="9" xfId="0" applyNumberFormat="1" applyFont="1" applyFill="1" applyBorder="1" applyAlignment="1" applyProtection="1">
      <alignment horizontal="center" vertical="center"/>
      <protection locked="0"/>
    </xf>
    <xf numFmtId="181" fontId="19" fillId="9" borderId="44" xfId="0" applyNumberFormat="1" applyFont="1" applyFill="1" applyBorder="1" applyAlignment="1" applyProtection="1">
      <alignment horizontal="right" vertical="center"/>
      <protection locked="0"/>
    </xf>
    <xf numFmtId="186" fontId="20" fillId="9" borderId="0" xfId="0" applyNumberFormat="1" applyFont="1" applyFill="1" applyBorder="1" applyAlignment="1" applyProtection="1">
      <alignment horizontal="center" vertical="center"/>
      <protection locked="0"/>
    </xf>
    <xf numFmtId="0" fontId="21" fillId="9" borderId="47" xfId="0" applyFont="1" applyFill="1" applyBorder="1" applyAlignment="1" applyProtection="1">
      <alignment horizontal="center" vertical="center"/>
      <protection locked="0"/>
    </xf>
    <xf numFmtId="0" fontId="21" fillId="9" borderId="5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4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</xf>
    <xf numFmtId="181" fontId="3" fillId="0" borderId="16" xfId="0" applyNumberFormat="1" applyFont="1" applyFill="1" applyBorder="1" applyAlignment="1" applyProtection="1">
      <alignment horizontal="center" vertical="center"/>
    </xf>
    <xf numFmtId="181" fontId="3" fillId="0" borderId="0" xfId="0" applyNumberFormat="1" applyFont="1" applyBorder="1" applyAlignment="1" applyProtection="1">
      <alignment horizontal="center" vertical="center"/>
    </xf>
    <xf numFmtId="184" fontId="3" fillId="0" borderId="6" xfId="0" applyNumberFormat="1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/>
    </xf>
    <xf numFmtId="181" fontId="8" fillId="0" borderId="0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181" fontId="19" fillId="7" borderId="3" xfId="0" applyNumberFormat="1" applyFont="1" applyFill="1" applyBorder="1" applyAlignment="1" applyProtection="1">
      <alignment horizontal="center" vertical="center"/>
      <protection locked="0"/>
    </xf>
    <xf numFmtId="181" fontId="19" fillId="7" borderId="0" xfId="0" applyNumberFormat="1" applyFont="1" applyFill="1" applyBorder="1" applyAlignment="1" applyProtection="1">
      <alignment horizontal="center" vertical="center"/>
      <protection locked="0"/>
    </xf>
    <xf numFmtId="190" fontId="32" fillId="7" borderId="0" xfId="0" applyNumberFormat="1" applyFont="1" applyFill="1" applyBorder="1" applyAlignment="1" applyProtection="1">
      <alignment horizontal="center" vertical="center"/>
      <protection locked="0"/>
    </xf>
    <xf numFmtId="179" fontId="16" fillId="0" borderId="17" xfId="0" applyNumberFormat="1" applyFont="1" applyBorder="1" applyAlignment="1" applyProtection="1">
      <alignment horizontal="center" vertical="top"/>
    </xf>
    <xf numFmtId="179" fontId="16" fillId="0" borderId="0" xfId="0" applyNumberFormat="1" applyFont="1" applyBorder="1" applyAlignment="1" applyProtection="1">
      <alignment horizontal="center" vertical="top"/>
    </xf>
    <xf numFmtId="179" fontId="16" fillId="0" borderId="25" xfId="0" applyNumberFormat="1" applyFont="1" applyBorder="1" applyAlignment="1" applyProtection="1">
      <alignment horizontal="center" vertical="top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84" fontId="3" fillId="0" borderId="0" xfId="0" applyNumberFormat="1" applyFont="1" applyBorder="1" applyAlignment="1" applyProtection="1">
      <alignment horizontal="left" vertical="center"/>
    </xf>
    <xf numFmtId="184" fontId="3" fillId="0" borderId="18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91" fontId="3" fillId="0" borderId="0" xfId="0" applyNumberFormat="1" applyFont="1" applyBorder="1" applyAlignment="1" applyProtection="1">
      <alignment horizontal="left" vertical="center"/>
    </xf>
    <xf numFmtId="191" fontId="3" fillId="0" borderId="18" xfId="0" applyNumberFormat="1" applyFont="1" applyBorder="1" applyAlignment="1" applyProtection="1">
      <alignment horizontal="left" vertical="center"/>
    </xf>
    <xf numFmtId="187" fontId="3" fillId="0" borderId="0" xfId="0" applyNumberFormat="1" applyFont="1" applyBorder="1" applyAlignment="1" applyProtection="1">
      <alignment horizontal="left" vertical="center"/>
    </xf>
    <xf numFmtId="187" fontId="3" fillId="0" borderId="18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center"/>
    </xf>
    <xf numFmtId="189" fontId="8" fillId="0" borderId="6" xfId="0" applyNumberFormat="1" applyFont="1" applyBorder="1" applyAlignment="1" applyProtection="1">
      <alignment horizontal="center"/>
    </xf>
    <xf numFmtId="189" fontId="8" fillId="0" borderId="3" xfId="0" applyNumberFormat="1" applyFont="1" applyBorder="1" applyAlignment="1" applyProtection="1">
      <alignment horizontal="center" vertical="top"/>
    </xf>
    <xf numFmtId="183" fontId="8" fillId="0" borderId="0" xfId="0" applyNumberFormat="1" applyFont="1" applyBorder="1" applyAlignment="1" applyProtection="1">
      <alignment horizontal="right" vertical="center"/>
    </xf>
    <xf numFmtId="181" fontId="32" fillId="8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181" fontId="3" fillId="0" borderId="3" xfId="0" applyNumberFormat="1" applyFont="1" applyBorder="1" applyAlignment="1" applyProtection="1">
      <alignment horizontal="center" vertical="center"/>
    </xf>
    <xf numFmtId="181" fontId="3" fillId="0" borderId="6" xfId="0" applyNumberFormat="1" applyFont="1" applyBorder="1" applyAlignment="1" applyProtection="1">
      <alignment horizontal="center" vertical="center"/>
    </xf>
    <xf numFmtId="179" fontId="28" fillId="0" borderId="3" xfId="0" applyNumberFormat="1" applyFont="1" applyFill="1" applyBorder="1" applyAlignment="1" applyProtection="1">
      <alignment horizontal="center" vertical="center"/>
    </xf>
    <xf numFmtId="179" fontId="28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top" wrapText="1"/>
    </xf>
    <xf numFmtId="186" fontId="19" fillId="7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186" fontId="3" fillId="0" borderId="16" xfId="0" applyNumberFormat="1" applyFont="1" applyBorder="1" applyAlignment="1" applyProtection="1">
      <alignment horizontal="center" vertical="center"/>
    </xf>
    <xf numFmtId="186" fontId="25" fillId="0" borderId="0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left" vertical="center"/>
    </xf>
    <xf numFmtId="186" fontId="25" fillId="0" borderId="0" xfId="0" applyNumberFormat="1" applyFont="1" applyFill="1" applyBorder="1" applyAlignment="1" applyProtection="1">
      <alignment horizontal="center" vertical="center"/>
    </xf>
    <xf numFmtId="196" fontId="3" fillId="0" borderId="16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86" fontId="3" fillId="0" borderId="15" xfId="0" applyNumberFormat="1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179" fontId="5" fillId="0" borderId="6" xfId="0" applyNumberFormat="1" applyFont="1" applyBorder="1" applyAlignment="1" applyProtection="1">
      <alignment vertical="center"/>
    </xf>
    <xf numFmtId="179" fontId="5" fillId="0" borderId="0" xfId="0" applyNumberFormat="1" applyFont="1" applyBorder="1" applyAlignment="1" applyProtection="1">
      <alignment vertical="center"/>
    </xf>
    <xf numFmtId="181" fontId="8" fillId="0" borderId="15" xfId="0" applyNumberFormat="1" applyFont="1" applyBorder="1" applyAlignment="1" applyProtection="1">
      <alignment horizontal="right" vertical="center"/>
    </xf>
    <xf numFmtId="181" fontId="8" fillId="0" borderId="16" xfId="0" applyNumberFormat="1" applyFont="1" applyBorder="1" applyAlignment="1" applyProtection="1">
      <alignment horizontal="right" vertical="center"/>
    </xf>
    <xf numFmtId="181" fontId="8" fillId="0" borderId="63" xfId="0" applyNumberFormat="1" applyFont="1" applyBorder="1" applyAlignment="1" applyProtection="1">
      <alignment horizontal="right" vertical="center"/>
    </xf>
    <xf numFmtId="181" fontId="16" fillId="0" borderId="6" xfId="0" applyNumberFormat="1" applyFont="1" applyBorder="1" applyAlignment="1" applyProtection="1">
      <alignment vertical="center"/>
    </xf>
    <xf numFmtId="184" fontId="0" fillId="0" borderId="0" xfId="0" applyNumberFormat="1" applyBorder="1" applyAlignment="1" applyProtection="1">
      <alignment horizontal="left" vertical="center"/>
    </xf>
    <xf numFmtId="184" fontId="0" fillId="0" borderId="18" xfId="0" applyNumberFormat="1" applyBorder="1" applyAlignment="1" applyProtection="1">
      <alignment horizontal="left" vertical="center"/>
    </xf>
    <xf numFmtId="186" fontId="3" fillId="0" borderId="0" xfId="0" applyNumberFormat="1" applyFont="1" applyBorder="1" applyAlignment="1" applyProtection="1">
      <alignment horizontal="left" vertical="center"/>
    </xf>
    <xf numFmtId="186" fontId="3" fillId="0" borderId="18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183" fontId="12" fillId="0" borderId="0" xfId="0" applyNumberFormat="1" applyFont="1" applyBorder="1" applyAlignment="1" applyProtection="1">
      <alignment horizontal="center" vertical="center"/>
    </xf>
    <xf numFmtId="188" fontId="25" fillId="0" borderId="0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85" fontId="3" fillId="0" borderId="6" xfId="0" applyNumberFormat="1" applyFont="1" applyBorder="1" applyAlignment="1" applyProtection="1">
      <alignment horizontal="center" vertical="center"/>
    </xf>
    <xf numFmtId="181" fontId="16" fillId="0" borderId="0" xfId="0" applyNumberFormat="1" applyFont="1" applyBorder="1" applyAlignment="1" applyProtection="1">
      <alignment horizontal="center" vertical="center"/>
    </xf>
    <xf numFmtId="181" fontId="27" fillId="8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right" vertical="center"/>
    </xf>
    <xf numFmtId="0" fontId="8" fillId="0" borderId="16" xfId="0" applyFont="1" applyBorder="1" applyAlignment="1" applyProtection="1">
      <alignment horizontal="right" vertical="center"/>
    </xf>
    <xf numFmtId="0" fontId="8" fillId="0" borderId="63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81" fontId="25" fillId="0" borderId="0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81" fontId="3" fillId="0" borderId="16" xfId="0" applyNumberFormat="1" applyFont="1" applyBorder="1" applyAlignment="1" applyProtection="1">
      <alignment horizontal="right" vertical="center"/>
    </xf>
    <xf numFmtId="186" fontId="27" fillId="8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Border="1" applyAlignment="1" applyProtection="1">
      <alignment horizontal="left" vertical="center"/>
    </xf>
    <xf numFmtId="0" fontId="3" fillId="0" borderId="29" xfId="0" applyNumberFormat="1" applyFont="1" applyBorder="1" applyAlignment="1" applyProtection="1">
      <alignment horizontal="left" vertical="center"/>
    </xf>
    <xf numFmtId="181" fontId="25" fillId="0" borderId="3" xfId="0" applyNumberFormat="1" applyFont="1" applyBorder="1" applyAlignment="1" applyProtection="1">
      <alignment horizontal="center" vertical="center"/>
    </xf>
    <xf numFmtId="181" fontId="18" fillId="0" borderId="3" xfId="0" applyNumberFormat="1" applyFont="1" applyBorder="1" applyAlignment="1" applyProtection="1">
      <alignment horizontal="center" vertical="center"/>
    </xf>
    <xf numFmtId="181" fontId="18" fillId="0" borderId="0" xfId="0" applyNumberFormat="1" applyFont="1" applyBorder="1" applyAlignment="1" applyProtection="1">
      <alignment horizontal="center" vertical="center"/>
    </xf>
    <xf numFmtId="0" fontId="41" fillId="0" borderId="3" xfId="0" applyFont="1" applyBorder="1" applyAlignment="1" applyProtection="1">
      <alignment horizontal="left" vertical="center"/>
    </xf>
    <xf numFmtId="0" fontId="41" fillId="0" borderId="19" xfId="0" applyFont="1" applyBorder="1" applyAlignment="1" applyProtection="1">
      <alignment horizontal="left" vertical="center"/>
    </xf>
    <xf numFmtId="183" fontId="27" fillId="8" borderId="0" xfId="0" applyNumberFormat="1" applyFont="1" applyFill="1" applyBorder="1" applyAlignment="1" applyProtection="1">
      <alignment horizontal="center" vertical="center"/>
      <protection locked="0"/>
    </xf>
    <xf numFmtId="181" fontId="0" fillId="0" borderId="6" xfId="0" applyNumberFormat="1" applyFont="1" applyBorder="1" applyAlignment="1" applyProtection="1">
      <alignment horizontal="center" vertical="center"/>
    </xf>
    <xf numFmtId="179" fontId="8" fillId="0" borderId="15" xfId="0" applyNumberFormat="1" applyFont="1" applyBorder="1" applyAlignment="1" applyProtection="1">
      <alignment horizontal="center" vertical="center"/>
    </xf>
    <xf numFmtId="179" fontId="8" fillId="0" borderId="16" xfId="0" applyNumberFormat="1" applyFont="1" applyBorder="1" applyAlignment="1" applyProtection="1">
      <alignment horizontal="center" vertical="center"/>
    </xf>
    <xf numFmtId="179" fontId="8" fillId="0" borderId="63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183" fontId="25" fillId="0" borderId="0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183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22" xfId="0" applyFont="1" applyFill="1" applyBorder="1" applyAlignment="1" applyProtection="1">
      <alignment horizontal="left" vertical="top" wrapText="1"/>
    </xf>
    <xf numFmtId="0" fontId="10" fillId="0" borderId="6" xfId="0" applyFont="1" applyFill="1" applyBorder="1" applyAlignment="1" applyProtection="1">
      <alignment horizontal="left" vertical="top" wrapText="1"/>
    </xf>
    <xf numFmtId="0" fontId="10" fillId="0" borderId="20" xfId="0" applyFont="1" applyFill="1" applyBorder="1" applyAlignment="1" applyProtection="1">
      <alignment horizontal="left" vertical="top" wrapText="1"/>
    </xf>
    <xf numFmtId="0" fontId="21" fillId="7" borderId="27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</xf>
    <xf numFmtId="0" fontId="21" fillId="7" borderId="27" xfId="0" applyFont="1" applyFill="1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186" fontId="35" fillId="0" borderId="7" xfId="0" applyNumberFormat="1" applyFont="1" applyBorder="1" applyAlignment="1" applyProtection="1">
      <alignment horizontal="center" vertical="center"/>
    </xf>
    <xf numFmtId="186" fontId="35" fillId="0" borderId="6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183" fontId="21" fillId="0" borderId="0" xfId="0" applyNumberFormat="1" applyFont="1" applyFill="1" applyBorder="1" applyAlignment="1" applyProtection="1">
      <alignment horizontal="center" vertical="center"/>
      <protection locked="0"/>
    </xf>
    <xf numFmtId="183" fontId="21" fillId="8" borderId="0" xfId="0" applyNumberFormat="1" applyFont="1" applyFill="1" applyBorder="1" applyAlignment="1" applyProtection="1">
      <alignment horizontal="center" vertical="center"/>
      <protection locked="0"/>
    </xf>
    <xf numFmtId="183" fontId="25" fillId="0" borderId="0" xfId="0" applyNumberFormat="1" applyFont="1" applyBorder="1" applyAlignment="1" applyProtection="1">
      <alignment horizontal="center" vertical="center"/>
    </xf>
    <xf numFmtId="179" fontId="3" fillId="0" borderId="2" xfId="0" applyNumberFormat="1" applyFont="1" applyBorder="1" applyAlignment="1" applyProtection="1">
      <alignment horizontal="left" vertical="center" wrapText="1"/>
    </xf>
    <xf numFmtId="179" fontId="3" fillId="0" borderId="3" xfId="0" applyNumberFormat="1" applyFont="1" applyBorder="1" applyAlignment="1" applyProtection="1">
      <alignment horizontal="left" vertical="center" wrapText="1"/>
    </xf>
    <xf numFmtId="179" fontId="3" fillId="0" borderId="19" xfId="0" applyNumberFormat="1" applyFont="1" applyBorder="1" applyAlignment="1" applyProtection="1">
      <alignment horizontal="left" vertical="center" wrapText="1"/>
    </xf>
    <xf numFmtId="184" fontId="3" fillId="0" borderId="0" xfId="0" applyNumberFormat="1" applyFont="1" applyBorder="1" applyAlignment="1" applyProtection="1">
      <alignment horizontal="center" vertical="top" shrinkToFit="1"/>
    </xf>
    <xf numFmtId="193" fontId="3" fillId="0" borderId="0" xfId="0" applyNumberFormat="1" applyFont="1" applyBorder="1" applyAlignment="1" applyProtection="1">
      <alignment horizontal="left" vertical="top"/>
    </xf>
    <xf numFmtId="183" fontId="18" fillId="0" borderId="6" xfId="0" applyNumberFormat="1" applyFont="1" applyBorder="1" applyAlignment="1" applyProtection="1">
      <alignment horizontal="center" vertical="center"/>
    </xf>
    <xf numFmtId="0" fontId="37" fillId="0" borderId="23" xfId="0" applyFont="1" applyBorder="1" applyAlignment="1" applyProtection="1">
      <alignment horizontal="center" vertical="center"/>
    </xf>
    <xf numFmtId="0" fontId="37" fillId="0" borderId="3" xfId="0" applyFont="1" applyBorder="1" applyAlignment="1" applyProtection="1">
      <alignment horizontal="center" vertical="center"/>
    </xf>
    <xf numFmtId="0" fontId="37" fillId="0" borderId="19" xfId="0" applyFont="1" applyBorder="1" applyAlignment="1" applyProtection="1">
      <alignment horizontal="center" vertical="center"/>
    </xf>
    <xf numFmtId="0" fontId="37" fillId="0" borderId="22" xfId="0" applyFont="1" applyBorder="1" applyAlignment="1" applyProtection="1">
      <alignment horizontal="center" vertical="center"/>
    </xf>
    <xf numFmtId="0" fontId="37" fillId="0" borderId="6" xfId="0" applyFont="1" applyBorder="1" applyAlignment="1" applyProtection="1">
      <alignment horizontal="center" vertical="center"/>
    </xf>
    <xf numFmtId="0" fontId="37" fillId="0" borderId="2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shrinkToFit="1"/>
    </xf>
    <xf numFmtId="191" fontId="6" fillId="0" borderId="0" xfId="0" applyNumberFormat="1" applyFont="1" applyBorder="1" applyAlignment="1" applyProtection="1">
      <alignment horizontal="center" vertical="center"/>
    </xf>
    <xf numFmtId="186" fontId="22" fillId="7" borderId="0" xfId="0" applyNumberFormat="1" applyFont="1" applyFill="1" applyBorder="1" applyAlignment="1" applyProtection="1">
      <alignment horizontal="center" vertical="center"/>
      <protection locked="0"/>
    </xf>
    <xf numFmtId="195" fontId="6" fillId="0" borderId="0" xfId="0" applyNumberFormat="1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84" fontId="6" fillId="0" borderId="5" xfId="0" applyNumberFormat="1" applyFont="1" applyBorder="1" applyAlignment="1" applyProtection="1">
      <alignment horizontal="left" vertical="center"/>
    </xf>
    <xf numFmtId="184" fontId="6" fillId="0" borderId="0" xfId="0" applyNumberFormat="1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92" fontId="6" fillId="0" borderId="0" xfId="0" applyNumberFormat="1" applyFont="1" applyBorder="1" applyAlignment="1" applyProtection="1">
      <alignment horizontal="left" vertical="center" shrinkToFit="1"/>
    </xf>
    <xf numFmtId="0" fontId="6" fillId="0" borderId="5" xfId="0" applyNumberFormat="1" applyFont="1" applyBorder="1" applyAlignment="1" applyProtection="1">
      <alignment horizontal="left" vertical="center" shrinkToFit="1"/>
    </xf>
    <xf numFmtId="0" fontId="6" fillId="0" borderId="0" xfId="0" applyNumberFormat="1" applyFont="1" applyBorder="1" applyAlignment="1" applyProtection="1">
      <alignment horizontal="left" vertical="center" shrinkToFit="1"/>
    </xf>
    <xf numFmtId="181" fontId="3" fillId="0" borderId="0" xfId="0" applyNumberFormat="1" applyFont="1" applyBorder="1" applyAlignment="1" applyProtection="1">
      <alignment horizontal="right" vertical="center"/>
    </xf>
    <xf numFmtId="181" fontId="30" fillId="7" borderId="0" xfId="0" applyNumberFormat="1" applyFont="1" applyFill="1" applyBorder="1" applyAlignment="1" applyProtection="1">
      <alignment horizontal="center" vertical="center"/>
      <protection locked="0"/>
    </xf>
    <xf numFmtId="181" fontId="30" fillId="7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181" fontId="12" fillId="0" borderId="0" xfId="0" applyNumberFormat="1" applyFont="1" applyBorder="1" applyAlignment="1" applyProtection="1">
      <alignment horizontal="center" vertical="center"/>
    </xf>
    <xf numFmtId="181" fontId="12" fillId="0" borderId="6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 vertical="center"/>
    </xf>
    <xf numFmtId="185" fontId="6" fillId="0" borderId="6" xfId="0" applyNumberFormat="1" applyFont="1" applyBorder="1" applyAlignment="1" applyProtection="1">
      <alignment horizontal="center" vertical="center"/>
    </xf>
    <xf numFmtId="191" fontId="8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79" fontId="6" fillId="0" borderId="15" xfId="0" applyNumberFormat="1" applyFont="1" applyBorder="1" applyAlignment="1" applyProtection="1">
      <alignment horizontal="right" vertical="center"/>
    </xf>
    <xf numFmtId="179" fontId="6" fillId="0" borderId="16" xfId="0" applyNumberFormat="1" applyFont="1" applyBorder="1" applyAlignment="1" applyProtection="1">
      <alignment horizontal="right" vertical="center"/>
    </xf>
    <xf numFmtId="179" fontId="6" fillId="0" borderId="63" xfId="0" applyNumberFormat="1" applyFont="1" applyBorder="1" applyAlignment="1" applyProtection="1">
      <alignment horizontal="right" vertical="center"/>
    </xf>
    <xf numFmtId="179" fontId="3" fillId="0" borderId="16" xfId="0" applyNumberFormat="1" applyFont="1" applyBorder="1" applyAlignment="1" applyProtection="1">
      <alignment horizontal="center" vertical="center"/>
    </xf>
    <xf numFmtId="179" fontId="3" fillId="0" borderId="6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 vertical="center"/>
    </xf>
    <xf numFmtId="190" fontId="20" fillId="7" borderId="0" xfId="0" applyNumberFormat="1" applyFont="1" applyFill="1" applyBorder="1" applyAlignment="1" applyProtection="1">
      <alignment horizontal="center" vertical="center"/>
      <protection locked="0"/>
    </xf>
    <xf numFmtId="181" fontId="3" fillId="0" borderId="15" xfId="0" applyNumberFormat="1" applyFont="1" applyBorder="1" applyAlignment="1" applyProtection="1">
      <alignment horizontal="right" vertical="center"/>
    </xf>
    <xf numFmtId="181" fontId="3" fillId="0" borderId="63" xfId="0" applyNumberFormat="1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 wrapText="1"/>
    </xf>
    <xf numFmtId="0" fontId="34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182" fontId="30" fillId="0" borderId="0" xfId="0" applyNumberFormat="1" applyFont="1" applyFill="1" applyBorder="1" applyAlignment="1" applyProtection="1">
      <alignment horizontal="center" vertical="center"/>
    </xf>
    <xf numFmtId="182" fontId="30" fillId="0" borderId="6" xfId="0" applyNumberFormat="1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left" vertical="center"/>
    </xf>
    <xf numFmtId="184" fontId="3" fillId="0" borderId="0" xfId="0" applyNumberFormat="1" applyFont="1" applyFill="1" applyBorder="1" applyAlignment="1" applyProtection="1">
      <alignment horizontal="center" vertical="center"/>
    </xf>
    <xf numFmtId="195" fontId="3" fillId="0" borderId="0" xfId="0" applyNumberFormat="1" applyFont="1" applyBorder="1" applyAlignment="1" applyProtection="1">
      <alignment horizontal="center" vertical="center"/>
    </xf>
    <xf numFmtId="184" fontId="13" fillId="0" borderId="0" xfId="0" applyNumberFormat="1" applyFont="1" applyBorder="1" applyAlignment="1" applyProtection="1">
      <alignment horizontal="center" vertical="center"/>
    </xf>
    <xf numFmtId="182" fontId="16" fillId="0" borderId="17" xfId="0" applyNumberFormat="1" applyFont="1" applyBorder="1" applyAlignment="1" applyProtection="1">
      <alignment horizontal="center" vertical="top"/>
    </xf>
    <xf numFmtId="182" fontId="16" fillId="0" borderId="0" xfId="0" applyNumberFormat="1" applyFont="1" applyBorder="1" applyAlignment="1" applyProtection="1">
      <alignment horizontal="center" vertical="top"/>
    </xf>
    <xf numFmtId="182" fontId="16" fillId="0" borderId="25" xfId="0" applyNumberFormat="1" applyFont="1" applyBorder="1" applyAlignment="1" applyProtection="1">
      <alignment horizontal="center" vertical="top"/>
    </xf>
    <xf numFmtId="0" fontId="3" fillId="0" borderId="15" xfId="0" applyFont="1" applyBorder="1" applyAlignment="1" applyProtection="1">
      <alignment horizontal="right"/>
    </xf>
    <xf numFmtId="0" fontId="3" fillId="0" borderId="16" xfId="0" applyFont="1" applyBorder="1" applyAlignment="1" applyProtection="1">
      <alignment horizontal="right"/>
    </xf>
    <xf numFmtId="0" fontId="3" fillId="0" borderId="63" xfId="0" applyFont="1" applyBorder="1" applyAlignment="1" applyProtection="1">
      <alignment horizontal="right"/>
    </xf>
    <xf numFmtId="186" fontId="3" fillId="0" borderId="15" xfId="0" applyNumberFormat="1" applyFont="1" applyBorder="1" applyAlignment="1" applyProtection="1">
      <alignment horizontal="center"/>
    </xf>
    <xf numFmtId="186" fontId="3" fillId="0" borderId="16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vertical="center"/>
    </xf>
    <xf numFmtId="186" fontId="12" fillId="0" borderId="0" xfId="0" applyNumberFormat="1" applyFont="1" applyFill="1" applyBorder="1" applyAlignment="1" applyProtection="1">
      <alignment horizontal="center" vertical="center"/>
    </xf>
    <xf numFmtId="181" fontId="30" fillId="8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7" xfId="0" applyFont="1" applyBorder="1" applyAlignment="1" applyProtection="1">
      <alignment horizontal="center" vertical="center" wrapText="1"/>
    </xf>
    <xf numFmtId="0" fontId="35" fillId="0" borderId="6" xfId="0" applyFont="1" applyBorder="1" applyAlignment="1" applyProtection="1">
      <alignment horizontal="center" vertical="center" wrapText="1"/>
    </xf>
    <xf numFmtId="186" fontId="30" fillId="7" borderId="7" xfId="0" applyNumberFormat="1" applyFont="1" applyFill="1" applyBorder="1" applyAlignment="1" applyProtection="1">
      <alignment horizontal="center" vertical="center"/>
      <protection locked="0"/>
    </xf>
    <xf numFmtId="186" fontId="30" fillId="7" borderId="6" xfId="0" applyNumberFormat="1" applyFont="1" applyFill="1" applyBorder="1" applyAlignment="1" applyProtection="1">
      <alignment horizontal="center" vertical="center"/>
      <protection locked="0"/>
    </xf>
    <xf numFmtId="181" fontId="3" fillId="0" borderId="16" xfId="0" applyNumberFormat="1" applyFont="1" applyBorder="1" applyAlignment="1" applyProtection="1">
      <alignment horizontal="center" vertical="center"/>
    </xf>
    <xf numFmtId="183" fontId="3" fillId="0" borderId="16" xfId="0" applyNumberFormat="1" applyFont="1" applyBorder="1" applyAlignment="1" applyProtection="1">
      <alignment horizontal="center" vertical="center"/>
    </xf>
    <xf numFmtId="0" fontId="20" fillId="8" borderId="16" xfId="0" applyFont="1" applyFill="1" applyBorder="1" applyAlignment="1" applyProtection="1">
      <alignment horizontal="center" vertical="center"/>
      <protection locked="0"/>
    </xf>
    <xf numFmtId="0" fontId="3" fillId="0" borderId="5" xfId="0" quotePrefix="1" applyFont="1" applyBorder="1" applyAlignment="1" applyProtection="1">
      <alignment horizontal="center" vertical="center"/>
    </xf>
    <xf numFmtId="0" fontId="3" fillId="0" borderId="0" xfId="0" quotePrefix="1" applyFont="1" applyBorder="1" applyAlignment="1" applyProtection="1">
      <alignment horizontal="center" vertical="center"/>
    </xf>
    <xf numFmtId="0" fontId="3" fillId="0" borderId="7" xfId="0" quotePrefix="1" applyFont="1" applyBorder="1" applyAlignment="1" applyProtection="1">
      <alignment horizontal="center" vertical="center"/>
    </xf>
    <xf numFmtId="0" fontId="3" fillId="0" borderId="6" xfId="0" quotePrefix="1" applyFont="1" applyBorder="1" applyAlignment="1" applyProtection="1">
      <alignment horizontal="center" vertical="center"/>
    </xf>
    <xf numFmtId="186" fontId="8" fillId="0" borderId="0" xfId="0" applyNumberFormat="1" applyFont="1" applyFill="1" applyBorder="1" applyAlignment="1" applyProtection="1">
      <alignment horizontal="center" vertical="center"/>
    </xf>
    <xf numFmtId="186" fontId="8" fillId="0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center" vertical="center"/>
      <protection locked="0"/>
    </xf>
    <xf numFmtId="0" fontId="21" fillId="8" borderId="6" xfId="0" applyFont="1" applyFill="1" applyBorder="1" applyAlignment="1" applyProtection="1">
      <alignment horizontal="center" vertical="center"/>
      <protection locked="0"/>
    </xf>
    <xf numFmtId="0" fontId="20" fillId="8" borderId="0" xfId="0" applyFont="1" applyFill="1" applyBorder="1" applyAlignment="1" applyProtection="1">
      <alignment horizontal="center" vertical="center"/>
      <protection locked="0"/>
    </xf>
    <xf numFmtId="0" fontId="20" fillId="8" borderId="6" xfId="0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63" xfId="0" applyBorder="1"/>
    <xf numFmtId="0" fontId="0" fillId="0" borderId="27" xfId="0" applyBorder="1" applyAlignment="1" applyProtection="1">
      <alignment horizontal="right" vertical="center"/>
    </xf>
    <xf numFmtId="0" fontId="0" fillId="7" borderId="27" xfId="0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05010"/>
      <color rgb="FF99FF66"/>
      <color rgb="FF99FF33"/>
      <color rgb="FFC0C0C0"/>
      <color rgb="FF5F5F5F"/>
      <color rgb="FFDBEEFE"/>
      <color rgb="FFCCFF33"/>
      <color rgb="FF4D4D4D"/>
      <color rgb="FF000000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12</xdr:row>
      <xdr:rowOff>28575</xdr:rowOff>
    </xdr:from>
    <xdr:to>
      <xdr:col>9</xdr:col>
      <xdr:colOff>133350</xdr:colOff>
      <xdr:row>13</xdr:row>
      <xdr:rowOff>133350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/>
        </xdr:cNvSpPr>
      </xdr:nvSpPr>
      <xdr:spPr bwMode="auto">
        <a:xfrm flipH="1">
          <a:off x="6229350" y="1657350"/>
          <a:ext cx="76200" cy="28575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12</xdr:row>
      <xdr:rowOff>28575</xdr:rowOff>
    </xdr:from>
    <xdr:to>
      <xdr:col>6</xdr:col>
      <xdr:colOff>9525</xdr:colOff>
      <xdr:row>13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/>
        </xdr:cNvSpPr>
      </xdr:nvSpPr>
      <xdr:spPr bwMode="auto">
        <a:xfrm>
          <a:off x="3571875" y="1657350"/>
          <a:ext cx="552450" cy="285750"/>
        </a:xfrm>
        <a:prstGeom prst="leftBracket">
          <a:avLst>
            <a:gd name="adj" fmla="val 8888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57150</xdr:colOff>
      <xdr:row>12</xdr:row>
      <xdr:rowOff>28575</xdr:rowOff>
    </xdr:from>
    <xdr:to>
      <xdr:col>46</xdr:col>
      <xdr:colOff>133350</xdr:colOff>
      <xdr:row>13</xdr:row>
      <xdr:rowOff>133350</xdr:rowOff>
    </xdr:to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/>
        </xdr:cNvSpPr>
      </xdr:nvSpPr>
      <xdr:spPr bwMode="auto">
        <a:xfrm flipH="1">
          <a:off x="1428750" y="2047875"/>
          <a:ext cx="76200" cy="30480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142875</xdr:colOff>
      <xdr:row>12</xdr:row>
      <xdr:rowOff>28575</xdr:rowOff>
    </xdr:from>
    <xdr:to>
      <xdr:col>43</xdr:col>
      <xdr:colOff>9525</xdr:colOff>
      <xdr:row>13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/>
        </xdr:cNvSpPr>
      </xdr:nvSpPr>
      <xdr:spPr bwMode="auto">
        <a:xfrm>
          <a:off x="904875" y="2047875"/>
          <a:ext cx="19050" cy="304800"/>
        </a:xfrm>
        <a:prstGeom prst="leftBracket">
          <a:avLst>
            <a:gd name="adj" fmla="val 8888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57150</xdr:colOff>
      <xdr:row>12</xdr:row>
      <xdr:rowOff>28575</xdr:rowOff>
    </xdr:from>
    <xdr:to>
      <xdr:col>83</xdr:col>
      <xdr:colOff>133350</xdr:colOff>
      <xdr:row>13</xdr:row>
      <xdr:rowOff>133350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/>
        </xdr:cNvSpPr>
      </xdr:nvSpPr>
      <xdr:spPr bwMode="auto">
        <a:xfrm flipH="1">
          <a:off x="1428750" y="2047875"/>
          <a:ext cx="76200" cy="304800"/>
        </a:xfrm>
        <a:prstGeom prst="leftBracket">
          <a:avLst>
            <a:gd name="adj" fmla="val 33333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142875</xdr:colOff>
      <xdr:row>12</xdr:row>
      <xdr:rowOff>28575</xdr:rowOff>
    </xdr:from>
    <xdr:to>
      <xdr:col>80</xdr:col>
      <xdr:colOff>9525</xdr:colOff>
      <xdr:row>13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/>
        </xdr:cNvSpPr>
      </xdr:nvSpPr>
      <xdr:spPr bwMode="auto">
        <a:xfrm>
          <a:off x="904875" y="2047875"/>
          <a:ext cx="19050" cy="304800"/>
        </a:xfrm>
        <a:prstGeom prst="leftBracket">
          <a:avLst>
            <a:gd name="adj" fmla="val 8888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BP394"/>
  <sheetViews>
    <sheetView showGridLines="0" showZeros="0" tabSelected="1" view="pageBreakPreview" zoomScaleSheetLayoutView="100" workbookViewId="0">
      <selection activeCell="X50" sqref="X50:AB50"/>
    </sheetView>
  </sheetViews>
  <sheetFormatPr defaultRowHeight="13.5" x14ac:dyDescent="0.15"/>
  <cols>
    <col min="1" max="50" width="1.625" style="1" customWidth="1"/>
    <col min="51" max="51" width="5.5" style="1" bestFit="1" customWidth="1"/>
    <col min="52" max="52" width="4.375" style="1" customWidth="1"/>
    <col min="53" max="55" width="8.125" style="1" customWidth="1"/>
    <col min="56" max="56" width="5.375" style="1" customWidth="1"/>
    <col min="57" max="16384" width="9" style="1"/>
  </cols>
  <sheetData>
    <row r="1" spans="1:65" ht="14.25" customHeight="1" x14ac:dyDescent="0.15">
      <c r="A1" s="1" t="s">
        <v>299</v>
      </c>
      <c r="H1" s="353"/>
      <c r="I1" s="354"/>
      <c r="J1" s="354"/>
      <c r="K1" s="354"/>
      <c r="L1" s="354"/>
      <c r="M1" s="354"/>
      <c r="N1" s="354"/>
      <c r="O1" s="354"/>
    </row>
    <row r="2" spans="1:65" ht="16.5" customHeight="1" thickBot="1" x14ac:dyDescent="0.2">
      <c r="A2" s="59" t="s">
        <v>294</v>
      </c>
      <c r="B2" s="59"/>
      <c r="C2" s="59"/>
      <c r="D2" s="59"/>
      <c r="E2" s="59"/>
      <c r="F2" s="59"/>
      <c r="G2" s="59"/>
      <c r="H2" s="355"/>
      <c r="I2" s="355"/>
      <c r="J2" s="355"/>
      <c r="K2" s="355"/>
      <c r="L2" s="355"/>
      <c r="M2" s="355"/>
      <c r="N2" s="355"/>
      <c r="O2" s="355"/>
      <c r="P2" s="59"/>
      <c r="Q2" s="59" t="s">
        <v>257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335">
        <v>20</v>
      </c>
      <c r="AH2" s="335"/>
      <c r="AI2" s="335"/>
      <c r="AJ2" s="59" t="s">
        <v>258</v>
      </c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319"/>
      <c r="AZ2" s="3"/>
      <c r="BA2" s="3"/>
      <c r="BB2" s="3"/>
      <c r="BC2" s="3"/>
      <c r="BD2" s="3"/>
      <c r="BE2" s="3"/>
    </row>
    <row r="3" spans="1:65" ht="16.5" customHeight="1" x14ac:dyDescent="0.15">
      <c r="A3" s="336" t="s">
        <v>248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8"/>
      <c r="AY3" s="319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5" ht="16.5" customHeight="1" x14ac:dyDescent="0.15">
      <c r="A4" s="339" t="s">
        <v>268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1"/>
      <c r="AY4" s="319"/>
      <c r="AZ4" s="3"/>
      <c r="BA4" s="3"/>
      <c r="BB4" s="3"/>
      <c r="BC4" s="3"/>
      <c r="BD4" s="3"/>
      <c r="BE4" s="3" t="s">
        <v>88</v>
      </c>
      <c r="BF4" s="3"/>
      <c r="BG4" s="3"/>
      <c r="BH4" s="3"/>
      <c r="BI4" s="3"/>
    </row>
    <row r="5" spans="1:65" ht="16.5" customHeight="1" thickBot="1" x14ac:dyDescent="0.2">
      <c r="A5" s="38" t="s">
        <v>65</v>
      </c>
      <c r="B5" s="64"/>
      <c r="C5" s="5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342">
        <f>AG2</f>
        <v>20</v>
      </c>
      <c r="V5" s="342"/>
      <c r="W5" s="342"/>
      <c r="X5" s="342"/>
      <c r="Y5" s="62" t="s">
        <v>66</v>
      </c>
      <c r="Z5" s="62"/>
      <c r="AA5" s="62" t="s">
        <v>67</v>
      </c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3"/>
      <c r="AY5" s="319"/>
      <c r="AZ5" s="3"/>
      <c r="BA5" s="3"/>
      <c r="BB5" s="3"/>
      <c r="BC5" s="3"/>
      <c r="BD5" s="86" t="s">
        <v>92</v>
      </c>
      <c r="BE5" s="85" t="s">
        <v>91</v>
      </c>
      <c r="BF5" s="84"/>
      <c r="BG5" s="75" t="s">
        <v>89</v>
      </c>
      <c r="BH5" s="85" t="s">
        <v>90</v>
      </c>
      <c r="BI5" s="3"/>
    </row>
    <row r="6" spans="1:65" ht="16.5" customHeight="1" thickBot="1" x14ac:dyDescent="0.2">
      <c r="A6" s="343" t="s">
        <v>0</v>
      </c>
      <c r="B6" s="344"/>
      <c r="C6" s="344"/>
      <c r="D6" s="344"/>
      <c r="E6" s="344"/>
      <c r="F6" s="344"/>
      <c r="G6" s="344"/>
      <c r="H6" s="345"/>
      <c r="I6" s="346" t="s">
        <v>81</v>
      </c>
      <c r="J6" s="346"/>
      <c r="K6" s="346"/>
      <c r="L6" s="346"/>
      <c r="M6" s="346"/>
      <c r="N6" s="347" t="s">
        <v>13</v>
      </c>
      <c r="O6" s="347"/>
      <c r="P6" s="347"/>
      <c r="Q6" s="347"/>
      <c r="R6" s="348"/>
      <c r="S6" s="348" t="s">
        <v>14</v>
      </c>
      <c r="T6" s="349"/>
      <c r="U6" s="349"/>
      <c r="V6" s="349"/>
      <c r="W6" s="350"/>
      <c r="X6" s="351" t="s">
        <v>69</v>
      </c>
      <c r="Y6" s="351"/>
      <c r="Z6" s="351"/>
      <c r="AA6" s="352"/>
      <c r="AB6" s="319" t="s">
        <v>71</v>
      </c>
      <c r="AC6" s="319"/>
      <c r="AD6" s="319"/>
      <c r="AE6" s="319"/>
      <c r="AF6" s="319"/>
      <c r="AG6" s="319"/>
      <c r="AH6" s="319"/>
      <c r="AI6" s="319"/>
      <c r="AJ6" s="58"/>
      <c r="AK6" s="6"/>
      <c r="AL6" s="319" t="s">
        <v>73</v>
      </c>
      <c r="AM6" s="319"/>
      <c r="AN6" s="319"/>
      <c r="AO6" s="319"/>
      <c r="AP6" s="319"/>
      <c r="AQ6" s="319"/>
      <c r="AR6" s="319"/>
      <c r="AS6" s="319"/>
      <c r="AT6" s="319"/>
      <c r="AU6" s="319"/>
      <c r="AV6" s="319"/>
      <c r="AW6" s="319"/>
      <c r="AX6" s="7"/>
      <c r="AY6" s="319"/>
      <c r="AZ6" s="3"/>
      <c r="BA6" s="323" t="s">
        <v>74</v>
      </c>
      <c r="BB6" s="323"/>
      <c r="BC6" s="3"/>
      <c r="BD6" s="254"/>
      <c r="BE6" s="80"/>
      <c r="BF6" s="80"/>
      <c r="BG6" s="81"/>
      <c r="BH6" s="82"/>
      <c r="BI6" s="255"/>
      <c r="BJ6" s="79"/>
      <c r="BK6" s="79"/>
      <c r="BL6" s="79"/>
      <c r="BM6" s="79"/>
    </row>
    <row r="7" spans="1:65" ht="16.5" customHeight="1" x14ac:dyDescent="0.15">
      <c r="A7" s="324" t="s">
        <v>1</v>
      </c>
      <c r="B7" s="325"/>
      <c r="C7" s="325"/>
      <c r="D7" s="325"/>
      <c r="E7" s="325"/>
      <c r="F7" s="325"/>
      <c r="G7" s="325"/>
      <c r="H7" s="326"/>
      <c r="I7" s="327"/>
      <c r="J7" s="327"/>
      <c r="K7" s="327"/>
      <c r="L7" s="327"/>
      <c r="M7" s="327"/>
      <c r="N7" s="328">
        <v>12</v>
      </c>
      <c r="O7" s="328"/>
      <c r="P7" s="328"/>
      <c r="Q7" s="328"/>
      <c r="R7" s="329"/>
      <c r="S7" s="330">
        <f t="shared" ref="S7:S18" si="0">ROUND(I7*N7,0)</f>
        <v>0</v>
      </c>
      <c r="T7" s="330"/>
      <c r="U7" s="330"/>
      <c r="V7" s="330"/>
      <c r="W7" s="331"/>
      <c r="X7" s="332" t="s">
        <v>68</v>
      </c>
      <c r="Y7" s="333"/>
      <c r="Z7" s="333"/>
      <c r="AA7" s="334"/>
      <c r="AB7" s="319" t="s">
        <v>70</v>
      </c>
      <c r="AC7" s="319"/>
      <c r="AD7" s="319"/>
      <c r="AE7" s="319"/>
      <c r="AF7" s="319"/>
      <c r="AG7" s="319"/>
      <c r="AH7" s="319"/>
      <c r="AI7" s="319"/>
      <c r="AJ7" s="8"/>
      <c r="AK7" s="9"/>
      <c r="AL7" s="319" t="s">
        <v>72</v>
      </c>
      <c r="AM7" s="319"/>
      <c r="AN7" s="319"/>
      <c r="AO7" s="319"/>
      <c r="AP7" s="319"/>
      <c r="AQ7" s="319"/>
      <c r="AR7" s="319"/>
      <c r="AS7" s="319"/>
      <c r="AT7" s="319"/>
      <c r="AU7" s="319"/>
      <c r="AV7" s="319"/>
      <c r="AW7" s="319"/>
      <c r="AX7" s="7"/>
      <c r="AY7" s="319"/>
      <c r="AZ7" s="3"/>
      <c r="BA7" s="277" t="s">
        <v>86</v>
      </c>
      <c r="BB7" s="277" t="s">
        <v>87</v>
      </c>
      <c r="BC7" s="3"/>
      <c r="BD7" s="282">
        <v>1</v>
      </c>
      <c r="BE7" s="283">
        <v>1</v>
      </c>
      <c r="BF7" s="283">
        <v>50</v>
      </c>
      <c r="BG7" s="293">
        <v>0.5</v>
      </c>
      <c r="BH7" s="283">
        <v>0.5</v>
      </c>
      <c r="BI7" s="256"/>
      <c r="BJ7" s="79"/>
      <c r="BK7" s="79"/>
      <c r="BL7" s="79"/>
      <c r="BM7" s="79"/>
    </row>
    <row r="8" spans="1:65" ht="16.5" customHeight="1" x14ac:dyDescent="0.15">
      <c r="A8" s="358" t="s">
        <v>2</v>
      </c>
      <c r="B8" s="359"/>
      <c r="C8" s="359"/>
      <c r="D8" s="359"/>
      <c r="E8" s="359"/>
      <c r="F8" s="359"/>
      <c r="G8" s="359"/>
      <c r="H8" s="360"/>
      <c r="I8" s="361"/>
      <c r="J8" s="361"/>
      <c r="K8" s="361"/>
      <c r="L8" s="361"/>
      <c r="M8" s="361"/>
      <c r="N8" s="362">
        <v>12</v>
      </c>
      <c r="O8" s="362"/>
      <c r="P8" s="362"/>
      <c r="Q8" s="362"/>
      <c r="R8" s="363"/>
      <c r="S8" s="364">
        <f t="shared" si="0"/>
        <v>0</v>
      </c>
      <c r="T8" s="364"/>
      <c r="U8" s="364"/>
      <c r="V8" s="364"/>
      <c r="W8" s="365"/>
      <c r="X8" s="10"/>
      <c r="Y8" s="367" t="str">
        <f>IF($I$19&gt;30,"計算不能です!!栓数を確認して下さい","")</f>
        <v/>
      </c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1"/>
      <c r="AY8" s="319"/>
      <c r="AZ8" s="3"/>
      <c r="BA8" s="278">
        <v>1</v>
      </c>
      <c r="BB8" s="279">
        <v>1</v>
      </c>
      <c r="BC8" s="3"/>
      <c r="BD8" s="282">
        <v>2</v>
      </c>
      <c r="BE8" s="283">
        <v>1.5</v>
      </c>
      <c r="BF8" s="283">
        <v>49.9</v>
      </c>
      <c r="BG8" s="293">
        <v>0.49</v>
      </c>
      <c r="BH8" s="283">
        <v>0.6</v>
      </c>
      <c r="BI8" s="256"/>
      <c r="BJ8" s="79"/>
      <c r="BK8" s="79"/>
      <c r="BL8" s="79"/>
      <c r="BM8" s="79"/>
    </row>
    <row r="9" spans="1:65" ht="16.5" customHeight="1" x14ac:dyDescent="0.15">
      <c r="A9" s="358" t="s">
        <v>3</v>
      </c>
      <c r="B9" s="359"/>
      <c r="C9" s="359"/>
      <c r="D9" s="359"/>
      <c r="E9" s="359"/>
      <c r="F9" s="359"/>
      <c r="G9" s="359"/>
      <c r="H9" s="360"/>
      <c r="I9" s="361"/>
      <c r="J9" s="361"/>
      <c r="K9" s="361"/>
      <c r="L9" s="361"/>
      <c r="M9" s="361"/>
      <c r="N9" s="362">
        <v>8</v>
      </c>
      <c r="O9" s="362"/>
      <c r="P9" s="362"/>
      <c r="Q9" s="362"/>
      <c r="R9" s="363"/>
      <c r="S9" s="364">
        <f t="shared" si="0"/>
        <v>0</v>
      </c>
      <c r="T9" s="364"/>
      <c r="U9" s="364"/>
      <c r="V9" s="364"/>
      <c r="W9" s="365"/>
      <c r="X9" s="318"/>
      <c r="Y9" s="368" t="s">
        <v>14</v>
      </c>
      <c r="Z9" s="368"/>
      <c r="AA9" s="368"/>
      <c r="AB9" s="368"/>
      <c r="AC9" s="368"/>
      <c r="AD9" s="368"/>
      <c r="AE9" s="356" t="s">
        <v>23</v>
      </c>
      <c r="AF9" s="370">
        <f>S19</f>
        <v>0</v>
      </c>
      <c r="AG9" s="370"/>
      <c r="AH9" s="370"/>
      <c r="AI9" s="370"/>
      <c r="AJ9" s="370"/>
      <c r="AK9" s="370"/>
      <c r="AL9" s="356" t="s">
        <v>23</v>
      </c>
      <c r="AM9" s="357">
        <f>IF(ISERROR(AF9/AF10)=TRUE,0,ROUND(AF9/AF10,1))</f>
        <v>0</v>
      </c>
      <c r="AN9" s="357"/>
      <c r="AO9" s="357"/>
      <c r="AP9" s="357"/>
      <c r="AQ9" s="357"/>
      <c r="AR9" s="356" t="s">
        <v>266</v>
      </c>
      <c r="AS9" s="356"/>
      <c r="AT9" s="356"/>
      <c r="AU9" s="356"/>
      <c r="AV9" s="307"/>
      <c r="AW9" s="307"/>
      <c r="AX9" s="7"/>
      <c r="AY9" s="319"/>
      <c r="AZ9" s="3"/>
      <c r="BA9" s="280">
        <v>2</v>
      </c>
      <c r="BB9" s="277">
        <v>1.4</v>
      </c>
      <c r="BC9" s="3"/>
      <c r="BD9" s="282">
        <v>3</v>
      </c>
      <c r="BE9" s="283">
        <v>2</v>
      </c>
      <c r="BF9" s="283">
        <v>49.8</v>
      </c>
      <c r="BG9" s="293">
        <v>0.48</v>
      </c>
      <c r="BH9" s="283">
        <v>0.7</v>
      </c>
      <c r="BI9" s="3"/>
    </row>
    <row r="10" spans="1:65" ht="16.5" customHeight="1" x14ac:dyDescent="0.15">
      <c r="A10" s="358" t="s">
        <v>4</v>
      </c>
      <c r="B10" s="359"/>
      <c r="C10" s="359"/>
      <c r="D10" s="359"/>
      <c r="E10" s="359"/>
      <c r="F10" s="359"/>
      <c r="G10" s="359"/>
      <c r="H10" s="360"/>
      <c r="I10" s="361"/>
      <c r="J10" s="361"/>
      <c r="K10" s="361"/>
      <c r="L10" s="361"/>
      <c r="M10" s="361"/>
      <c r="N10" s="362">
        <v>20</v>
      </c>
      <c r="O10" s="362"/>
      <c r="P10" s="362"/>
      <c r="Q10" s="362"/>
      <c r="R10" s="363"/>
      <c r="S10" s="364">
        <f t="shared" si="0"/>
        <v>0</v>
      </c>
      <c r="T10" s="364"/>
      <c r="U10" s="364"/>
      <c r="V10" s="364"/>
      <c r="W10" s="365"/>
      <c r="X10" s="318"/>
      <c r="Y10" s="366" t="s">
        <v>15</v>
      </c>
      <c r="Z10" s="366"/>
      <c r="AA10" s="366"/>
      <c r="AB10" s="366"/>
      <c r="AC10" s="366"/>
      <c r="AD10" s="366"/>
      <c r="AE10" s="356"/>
      <c r="AF10" s="369">
        <f>I19</f>
        <v>0</v>
      </c>
      <c r="AG10" s="369"/>
      <c r="AH10" s="369"/>
      <c r="AI10" s="369"/>
      <c r="AJ10" s="369"/>
      <c r="AK10" s="369"/>
      <c r="AL10" s="356"/>
      <c r="AM10" s="357"/>
      <c r="AN10" s="357"/>
      <c r="AO10" s="357"/>
      <c r="AP10" s="357"/>
      <c r="AQ10" s="357"/>
      <c r="AR10" s="356"/>
      <c r="AS10" s="356"/>
      <c r="AT10" s="356"/>
      <c r="AU10" s="356"/>
      <c r="AV10" s="307"/>
      <c r="AW10" s="307"/>
      <c r="AX10" s="7"/>
      <c r="AY10" s="319"/>
      <c r="AZ10" s="3"/>
      <c r="BA10" s="278">
        <v>3</v>
      </c>
      <c r="BB10" s="279">
        <v>1.7</v>
      </c>
      <c r="BC10" s="3"/>
      <c r="BD10" s="282">
        <v>4</v>
      </c>
      <c r="BE10" s="283">
        <v>2.5</v>
      </c>
      <c r="BF10" s="283">
        <v>49.699999999999996</v>
      </c>
      <c r="BG10" s="293">
        <v>0.47</v>
      </c>
      <c r="BH10" s="283">
        <v>0.8</v>
      </c>
      <c r="BI10" s="3"/>
    </row>
    <row r="11" spans="1:65" ht="16.5" customHeight="1" x14ac:dyDescent="0.15">
      <c r="A11" s="358" t="s">
        <v>5</v>
      </c>
      <c r="B11" s="359"/>
      <c r="C11" s="359"/>
      <c r="D11" s="359"/>
      <c r="E11" s="359"/>
      <c r="F11" s="359"/>
      <c r="G11" s="359"/>
      <c r="H11" s="360"/>
      <c r="I11" s="361"/>
      <c r="J11" s="361"/>
      <c r="K11" s="361"/>
      <c r="L11" s="361"/>
      <c r="M11" s="361"/>
      <c r="N11" s="362">
        <v>30</v>
      </c>
      <c r="O11" s="362"/>
      <c r="P11" s="362"/>
      <c r="Q11" s="362"/>
      <c r="R11" s="363"/>
      <c r="S11" s="364">
        <f t="shared" si="0"/>
        <v>0</v>
      </c>
      <c r="T11" s="364"/>
      <c r="U11" s="364"/>
      <c r="V11" s="364"/>
      <c r="W11" s="365"/>
      <c r="X11" s="318"/>
      <c r="Y11" s="319"/>
      <c r="Z11" s="319"/>
      <c r="AA11" s="319"/>
      <c r="AB11" s="319"/>
      <c r="AC11" s="319"/>
      <c r="AD11" s="319"/>
      <c r="AE11" s="319"/>
      <c r="AF11" s="12"/>
      <c r="AG11" s="12"/>
      <c r="AH11" s="12"/>
      <c r="AI11" s="12"/>
      <c r="AJ11" s="12"/>
      <c r="AK11" s="12"/>
      <c r="AL11" s="319"/>
      <c r="AM11" s="319"/>
      <c r="AN11" s="319"/>
      <c r="AO11" s="319"/>
      <c r="AP11" s="319"/>
      <c r="AQ11" s="319"/>
      <c r="AR11" s="319"/>
      <c r="AS11" s="319"/>
      <c r="AT11" s="319"/>
      <c r="AU11" s="319"/>
      <c r="AV11" s="319"/>
      <c r="AW11" s="319"/>
      <c r="AX11" s="7"/>
      <c r="AY11" s="319"/>
      <c r="AZ11" s="3"/>
      <c r="BA11" s="280">
        <v>4</v>
      </c>
      <c r="BB11" s="277">
        <v>2</v>
      </c>
      <c r="BC11" s="3"/>
      <c r="BD11" s="282">
        <v>5</v>
      </c>
      <c r="BE11" s="283">
        <v>3</v>
      </c>
      <c r="BF11" s="283">
        <v>49.599999999999994</v>
      </c>
      <c r="BG11" s="293">
        <v>0.46</v>
      </c>
      <c r="BH11" s="283">
        <v>0.9</v>
      </c>
      <c r="BI11" s="3"/>
    </row>
    <row r="12" spans="1:65" ht="16.5" customHeight="1" x14ac:dyDescent="0.15">
      <c r="A12" s="358" t="s">
        <v>6</v>
      </c>
      <c r="B12" s="359"/>
      <c r="C12" s="359"/>
      <c r="D12" s="359"/>
      <c r="E12" s="359"/>
      <c r="F12" s="359"/>
      <c r="G12" s="359"/>
      <c r="H12" s="360"/>
      <c r="I12" s="361"/>
      <c r="J12" s="361"/>
      <c r="K12" s="361"/>
      <c r="L12" s="361"/>
      <c r="M12" s="361"/>
      <c r="N12" s="362">
        <v>12</v>
      </c>
      <c r="O12" s="362"/>
      <c r="P12" s="362"/>
      <c r="Q12" s="362"/>
      <c r="R12" s="363"/>
      <c r="S12" s="364">
        <f t="shared" si="0"/>
        <v>0</v>
      </c>
      <c r="T12" s="364"/>
      <c r="U12" s="364"/>
      <c r="V12" s="364"/>
      <c r="W12" s="365"/>
      <c r="X12" s="318"/>
      <c r="Y12" s="319" t="s">
        <v>17</v>
      </c>
      <c r="Z12" s="319"/>
      <c r="AA12" s="319"/>
      <c r="AB12" s="319"/>
      <c r="AC12" s="319"/>
      <c r="AD12" s="319"/>
      <c r="AE12" s="319"/>
      <c r="AF12" s="319"/>
      <c r="AG12" s="319"/>
      <c r="AH12" s="319"/>
      <c r="AI12" s="319"/>
      <c r="AJ12" s="319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319"/>
      <c r="AX12" s="7"/>
      <c r="AY12" s="319"/>
      <c r="AZ12" s="3"/>
      <c r="BA12" s="278">
        <v>5</v>
      </c>
      <c r="BB12" s="279">
        <v>2.2000000000000002</v>
      </c>
      <c r="BC12" s="3"/>
      <c r="BD12" s="282">
        <v>6</v>
      </c>
      <c r="BE12" s="283">
        <v>3.5</v>
      </c>
      <c r="BF12" s="283">
        <v>49.499999999999993</v>
      </c>
      <c r="BG12" s="293">
        <v>0.45</v>
      </c>
      <c r="BH12" s="283">
        <v>1</v>
      </c>
      <c r="BI12" s="3"/>
    </row>
    <row r="13" spans="1:65" ht="16.5" customHeight="1" x14ac:dyDescent="0.15">
      <c r="A13" s="358" t="s">
        <v>7</v>
      </c>
      <c r="B13" s="359"/>
      <c r="C13" s="359"/>
      <c r="D13" s="359"/>
      <c r="E13" s="359"/>
      <c r="F13" s="359"/>
      <c r="G13" s="359"/>
      <c r="H13" s="360"/>
      <c r="I13" s="361"/>
      <c r="J13" s="361"/>
      <c r="K13" s="361"/>
      <c r="L13" s="361"/>
      <c r="M13" s="361"/>
      <c r="N13" s="362">
        <v>15</v>
      </c>
      <c r="O13" s="362"/>
      <c r="P13" s="362"/>
      <c r="Q13" s="362"/>
      <c r="R13" s="363"/>
      <c r="S13" s="364">
        <f t="shared" si="0"/>
        <v>0</v>
      </c>
      <c r="T13" s="364"/>
      <c r="U13" s="364"/>
      <c r="V13" s="364"/>
      <c r="W13" s="365"/>
      <c r="X13" s="318"/>
      <c r="Y13" s="372">
        <f>AM9</f>
        <v>0</v>
      </c>
      <c r="Z13" s="372"/>
      <c r="AA13" s="372"/>
      <c r="AB13" s="372"/>
      <c r="AC13" s="372"/>
      <c r="AD13" s="373" t="s">
        <v>271</v>
      </c>
      <c r="AE13" s="373"/>
      <c r="AF13" s="373"/>
      <c r="AG13" s="373"/>
      <c r="AH13" s="374" t="e">
        <f>LOOKUP(I19,BA8:BA22,BB8:BB22)</f>
        <v>#N/A</v>
      </c>
      <c r="AI13" s="374"/>
      <c r="AJ13" s="374"/>
      <c r="AK13" s="374"/>
      <c r="AL13" s="374"/>
      <c r="AM13" s="319" t="s">
        <v>23</v>
      </c>
      <c r="AN13" s="357" t="e">
        <f>ROUND(Y13*AH13,1)</f>
        <v>#N/A</v>
      </c>
      <c r="AO13" s="357"/>
      <c r="AP13" s="357"/>
      <c r="AQ13" s="357"/>
      <c r="AR13" s="357"/>
      <c r="AS13" s="319" t="s">
        <v>266</v>
      </c>
      <c r="AT13" s="319"/>
      <c r="AU13" s="319"/>
      <c r="AV13" s="319"/>
      <c r="AW13" s="319"/>
      <c r="AX13" s="7"/>
      <c r="AY13" s="319"/>
      <c r="AZ13" s="3"/>
      <c r="BA13" s="280">
        <v>6</v>
      </c>
      <c r="BB13" s="277">
        <v>2.4</v>
      </c>
      <c r="BC13" s="3"/>
      <c r="BD13" s="282">
        <v>7</v>
      </c>
      <c r="BE13" s="283">
        <v>4</v>
      </c>
      <c r="BF13" s="283">
        <v>49.399999999999991</v>
      </c>
      <c r="BG13" s="293">
        <v>0.44</v>
      </c>
      <c r="BH13" s="283">
        <v>1.1000000000000001</v>
      </c>
      <c r="BI13" s="3"/>
    </row>
    <row r="14" spans="1:65" ht="16.5" customHeight="1" x14ac:dyDescent="0.15">
      <c r="A14" s="358" t="s">
        <v>8</v>
      </c>
      <c r="B14" s="359"/>
      <c r="C14" s="359"/>
      <c r="D14" s="359"/>
      <c r="E14" s="359"/>
      <c r="F14" s="359"/>
      <c r="G14" s="359"/>
      <c r="H14" s="360"/>
      <c r="I14" s="361"/>
      <c r="J14" s="361"/>
      <c r="K14" s="361"/>
      <c r="L14" s="361"/>
      <c r="M14" s="361"/>
      <c r="N14" s="362">
        <v>5</v>
      </c>
      <c r="O14" s="362"/>
      <c r="P14" s="362"/>
      <c r="Q14" s="362"/>
      <c r="R14" s="363"/>
      <c r="S14" s="364">
        <f t="shared" si="0"/>
        <v>0</v>
      </c>
      <c r="T14" s="364"/>
      <c r="U14" s="364"/>
      <c r="V14" s="364"/>
      <c r="W14" s="365"/>
      <c r="X14" s="318"/>
      <c r="Y14" s="14" t="s">
        <v>18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371"/>
      <c r="AO14" s="371"/>
      <c r="AP14" s="371"/>
      <c r="AQ14" s="371"/>
      <c r="AR14" s="371"/>
      <c r="AS14" s="14" t="s">
        <v>266</v>
      </c>
      <c r="AT14" s="14"/>
      <c r="AU14" s="14"/>
      <c r="AV14" s="14"/>
      <c r="AW14" s="14"/>
      <c r="AX14" s="7"/>
      <c r="AY14" s="319"/>
      <c r="AZ14" s="3"/>
      <c r="BA14" s="278">
        <v>7</v>
      </c>
      <c r="BB14" s="279">
        <v>2.6</v>
      </c>
      <c r="BC14" s="3"/>
      <c r="BD14" s="282">
        <v>8</v>
      </c>
      <c r="BE14" s="283">
        <v>4.5</v>
      </c>
      <c r="BF14" s="283">
        <v>49.29999999999999</v>
      </c>
      <c r="BG14" s="293">
        <v>0.43</v>
      </c>
      <c r="BH14" s="283">
        <v>1.2</v>
      </c>
      <c r="BI14" s="3"/>
    </row>
    <row r="15" spans="1:65" ht="16.5" customHeight="1" x14ac:dyDescent="0.15">
      <c r="A15" s="375" t="s">
        <v>9</v>
      </c>
      <c r="B15" s="376"/>
      <c r="C15" s="376"/>
      <c r="D15" s="376"/>
      <c r="E15" s="376"/>
      <c r="F15" s="376"/>
      <c r="G15" s="376"/>
      <c r="H15" s="376"/>
      <c r="I15" s="361"/>
      <c r="J15" s="361"/>
      <c r="K15" s="361"/>
      <c r="L15" s="361"/>
      <c r="M15" s="361"/>
      <c r="N15" s="362">
        <v>15</v>
      </c>
      <c r="O15" s="362"/>
      <c r="P15" s="362"/>
      <c r="Q15" s="362"/>
      <c r="R15" s="363"/>
      <c r="S15" s="364">
        <f t="shared" si="0"/>
        <v>0</v>
      </c>
      <c r="T15" s="364"/>
      <c r="U15" s="364"/>
      <c r="V15" s="364"/>
      <c r="W15" s="365"/>
      <c r="X15" s="318"/>
      <c r="Y15" s="319"/>
      <c r="Z15" s="319"/>
      <c r="AA15" s="319"/>
      <c r="AB15" s="319"/>
      <c r="AC15" s="319"/>
      <c r="AD15" s="319"/>
      <c r="AE15" s="319"/>
      <c r="AF15" s="319"/>
      <c r="AG15" s="319"/>
      <c r="AH15" s="319"/>
      <c r="AI15" s="319"/>
      <c r="AJ15" s="319"/>
      <c r="AK15" s="319"/>
      <c r="AL15" s="319"/>
      <c r="AM15" s="319"/>
      <c r="AN15" s="307"/>
      <c r="AO15" s="307"/>
      <c r="AP15" s="307"/>
      <c r="AQ15" s="307"/>
      <c r="AR15" s="307"/>
      <c r="AS15" s="319"/>
      <c r="AT15" s="319"/>
      <c r="AU15" s="319"/>
      <c r="AV15" s="319"/>
      <c r="AW15" s="319"/>
      <c r="AX15" s="7"/>
      <c r="AY15" s="319"/>
      <c r="AZ15" s="3"/>
      <c r="BA15" s="280">
        <v>8</v>
      </c>
      <c r="BB15" s="281">
        <v>2.8</v>
      </c>
      <c r="BC15" s="3"/>
      <c r="BD15" s="282">
        <v>9</v>
      </c>
      <c r="BE15" s="283">
        <v>5</v>
      </c>
      <c r="BF15" s="283">
        <v>49.199999999999989</v>
      </c>
      <c r="BG15" s="293">
        <v>0.42</v>
      </c>
      <c r="BH15" s="283">
        <v>1.3</v>
      </c>
      <c r="BI15" s="3"/>
    </row>
    <row r="16" spans="1:65" ht="16.5" customHeight="1" x14ac:dyDescent="0.15">
      <c r="A16" s="358" t="s">
        <v>10</v>
      </c>
      <c r="B16" s="359"/>
      <c r="C16" s="359"/>
      <c r="D16" s="359"/>
      <c r="E16" s="359"/>
      <c r="F16" s="359"/>
      <c r="G16" s="359"/>
      <c r="H16" s="360"/>
      <c r="I16" s="361"/>
      <c r="J16" s="361"/>
      <c r="K16" s="361"/>
      <c r="L16" s="361"/>
      <c r="M16" s="361"/>
      <c r="N16" s="362">
        <v>22</v>
      </c>
      <c r="O16" s="362"/>
      <c r="P16" s="362"/>
      <c r="Q16" s="362"/>
      <c r="R16" s="363"/>
      <c r="S16" s="364">
        <f t="shared" si="0"/>
        <v>0</v>
      </c>
      <c r="T16" s="364"/>
      <c r="U16" s="364"/>
      <c r="V16" s="364"/>
      <c r="W16" s="365"/>
      <c r="X16" s="318"/>
      <c r="Y16" s="319" t="s">
        <v>19</v>
      </c>
      <c r="Z16" s="319"/>
      <c r="AA16" s="319"/>
      <c r="AB16" s="319"/>
      <c r="AC16" s="319"/>
      <c r="AD16" s="319"/>
      <c r="AE16" s="319"/>
      <c r="AF16" s="319"/>
      <c r="AG16" s="319"/>
      <c r="AH16" s="319"/>
      <c r="AI16" s="319"/>
      <c r="AJ16" s="319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7"/>
      <c r="AY16" s="319"/>
      <c r="AZ16" s="3"/>
      <c r="BA16" s="278">
        <v>9</v>
      </c>
      <c r="BB16" s="281">
        <v>2.9</v>
      </c>
      <c r="BC16" s="3"/>
      <c r="BD16" s="282">
        <v>10</v>
      </c>
      <c r="BE16" s="283">
        <v>5.5</v>
      </c>
      <c r="BF16" s="283">
        <v>49.099999999999987</v>
      </c>
      <c r="BG16" s="293">
        <v>0.41</v>
      </c>
      <c r="BH16" s="283">
        <v>1.4</v>
      </c>
      <c r="BI16" s="3"/>
    </row>
    <row r="17" spans="1:63" ht="16.5" customHeight="1" x14ac:dyDescent="0.15">
      <c r="A17" s="375" t="s">
        <v>63</v>
      </c>
      <c r="B17" s="376"/>
      <c r="C17" s="376"/>
      <c r="D17" s="376"/>
      <c r="E17" s="376"/>
      <c r="F17" s="376"/>
      <c r="G17" s="376"/>
      <c r="H17" s="376"/>
      <c r="I17" s="361"/>
      <c r="J17" s="361"/>
      <c r="K17" s="361"/>
      <c r="L17" s="361"/>
      <c r="M17" s="361"/>
      <c r="N17" s="362">
        <v>14</v>
      </c>
      <c r="O17" s="362"/>
      <c r="P17" s="362"/>
      <c r="Q17" s="362"/>
      <c r="R17" s="363"/>
      <c r="S17" s="364">
        <f t="shared" si="0"/>
        <v>0</v>
      </c>
      <c r="T17" s="364"/>
      <c r="U17" s="364"/>
      <c r="V17" s="364"/>
      <c r="W17" s="365"/>
      <c r="X17" s="318"/>
      <c r="Y17" s="319" t="s">
        <v>23</v>
      </c>
      <c r="Z17" s="372" t="e">
        <f>AN13</f>
        <v>#N/A</v>
      </c>
      <c r="AA17" s="372"/>
      <c r="AB17" s="372"/>
      <c r="AC17" s="372"/>
      <c r="AD17" s="372"/>
      <c r="AE17" s="69" t="s">
        <v>24</v>
      </c>
      <c r="AF17" s="386">
        <f>AN14</f>
        <v>0</v>
      </c>
      <c r="AG17" s="386"/>
      <c r="AH17" s="386"/>
      <c r="AI17" s="386"/>
      <c r="AJ17" s="386"/>
      <c r="AK17" s="69" t="s">
        <v>23</v>
      </c>
      <c r="AL17" s="377" t="e">
        <f>ROUND(Z17+AF17,1)</f>
        <v>#N/A</v>
      </c>
      <c r="AM17" s="377"/>
      <c r="AN17" s="377"/>
      <c r="AO17" s="377"/>
      <c r="AP17" s="377"/>
      <c r="AQ17" s="377"/>
      <c r="AR17" s="377"/>
      <c r="AS17" s="69" t="s">
        <v>266</v>
      </c>
      <c r="AT17" s="319"/>
      <c r="AU17" s="319"/>
      <c r="AV17" s="319"/>
      <c r="AW17" s="319"/>
      <c r="AX17" s="7"/>
      <c r="AY17" s="319"/>
      <c r="AZ17" s="3"/>
      <c r="BA17" s="280">
        <v>10</v>
      </c>
      <c r="BB17" s="281">
        <v>3</v>
      </c>
      <c r="BC17" s="3"/>
      <c r="BD17" s="282">
        <v>15</v>
      </c>
      <c r="BE17" s="283">
        <v>6</v>
      </c>
      <c r="BF17" s="283">
        <v>48.999999999999986</v>
      </c>
      <c r="BG17" s="293">
        <v>0.4</v>
      </c>
      <c r="BH17" s="283">
        <v>1.5</v>
      </c>
      <c r="BI17" s="3"/>
    </row>
    <row r="18" spans="1:63" ht="16.5" customHeight="1" x14ac:dyDescent="0.15">
      <c r="A18" s="378" t="s">
        <v>11</v>
      </c>
      <c r="B18" s="379"/>
      <c r="C18" s="379"/>
      <c r="D18" s="379"/>
      <c r="E18" s="379"/>
      <c r="F18" s="379"/>
      <c r="G18" s="379"/>
      <c r="H18" s="380"/>
      <c r="I18" s="381"/>
      <c r="J18" s="381"/>
      <c r="K18" s="381"/>
      <c r="L18" s="381"/>
      <c r="M18" s="381"/>
      <c r="N18" s="382"/>
      <c r="O18" s="383"/>
      <c r="P18" s="383"/>
      <c r="Q18" s="383"/>
      <c r="R18" s="383"/>
      <c r="S18" s="384">
        <f t="shared" si="0"/>
        <v>0</v>
      </c>
      <c r="T18" s="384"/>
      <c r="U18" s="384"/>
      <c r="V18" s="384"/>
      <c r="W18" s="384"/>
      <c r="X18" s="318"/>
      <c r="Y18" s="31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 t="s">
        <v>23</v>
      </c>
      <c r="AL18" s="385" t="e">
        <f>ROUND(AL17/60000,6)</f>
        <v>#N/A</v>
      </c>
      <c r="AM18" s="385"/>
      <c r="AN18" s="385"/>
      <c r="AO18" s="385"/>
      <c r="AP18" s="385"/>
      <c r="AQ18" s="385"/>
      <c r="AR18" s="385"/>
      <c r="AS18" s="319" t="s">
        <v>267</v>
      </c>
      <c r="AT18" s="319"/>
      <c r="AU18" s="319"/>
      <c r="AV18" s="319"/>
      <c r="AW18" s="319"/>
      <c r="AX18" s="7"/>
      <c r="AY18" s="319"/>
      <c r="AZ18" s="3"/>
      <c r="BA18" s="278">
        <v>11</v>
      </c>
      <c r="BB18" s="281">
        <v>3.1</v>
      </c>
      <c r="BC18" s="3"/>
      <c r="BD18" s="282">
        <v>20</v>
      </c>
      <c r="BE18" s="283">
        <v>6.5</v>
      </c>
      <c r="BF18" s="283">
        <v>48.899999999999984</v>
      </c>
      <c r="BG18" s="293">
        <v>0.39</v>
      </c>
      <c r="BH18" s="283">
        <v>1.6</v>
      </c>
      <c r="BI18" s="3"/>
    </row>
    <row r="19" spans="1:63" ht="16.5" customHeight="1" x14ac:dyDescent="0.15">
      <c r="A19" s="393" t="s">
        <v>12</v>
      </c>
      <c r="B19" s="394"/>
      <c r="C19" s="394"/>
      <c r="D19" s="394"/>
      <c r="E19" s="394"/>
      <c r="F19" s="394"/>
      <c r="G19" s="394"/>
      <c r="H19" s="395"/>
      <c r="I19" s="396">
        <f>SUM(I7:M18)</f>
        <v>0</v>
      </c>
      <c r="J19" s="397"/>
      <c r="K19" s="397"/>
      <c r="L19" s="398" t="s">
        <v>16</v>
      </c>
      <c r="M19" s="399"/>
      <c r="N19" s="400"/>
      <c r="O19" s="401"/>
      <c r="P19" s="401"/>
      <c r="Q19" s="401"/>
      <c r="R19" s="401"/>
      <c r="S19" s="396">
        <f>SUM(S7:W18)</f>
        <v>0</v>
      </c>
      <c r="T19" s="397"/>
      <c r="U19" s="397"/>
      <c r="V19" s="398" t="s">
        <v>266</v>
      </c>
      <c r="W19" s="398"/>
      <c r="X19" s="15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16"/>
      <c r="AY19" s="319"/>
      <c r="AZ19" s="3"/>
      <c r="BA19" s="280">
        <v>12</v>
      </c>
      <c r="BB19" s="281">
        <v>3.2</v>
      </c>
      <c r="BC19" s="3"/>
      <c r="BD19" s="282">
        <v>25</v>
      </c>
      <c r="BE19" s="283">
        <v>7</v>
      </c>
      <c r="BF19" s="283">
        <v>48.799999999999983</v>
      </c>
      <c r="BG19" s="293">
        <v>0.38</v>
      </c>
      <c r="BH19" s="283">
        <v>1.7</v>
      </c>
      <c r="BI19" s="3"/>
    </row>
    <row r="20" spans="1:63" ht="16.5" customHeight="1" x14ac:dyDescent="0.15">
      <c r="A20" s="389" t="s">
        <v>21</v>
      </c>
      <c r="B20" s="356"/>
      <c r="C20" s="356"/>
      <c r="D20" s="356"/>
      <c r="E20" s="356"/>
      <c r="F20" s="356"/>
      <c r="G20" s="356"/>
      <c r="H20" s="390"/>
      <c r="I20" s="356" t="s">
        <v>273</v>
      </c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90"/>
      <c r="X20" s="10"/>
      <c r="Y20" s="351" t="s">
        <v>22</v>
      </c>
      <c r="Z20" s="351"/>
      <c r="AA20" s="351"/>
      <c r="AB20" s="351"/>
      <c r="AC20" s="351"/>
      <c r="AD20" s="351"/>
      <c r="AE20" s="351"/>
      <c r="AF20" s="6"/>
      <c r="AG20" s="10"/>
      <c r="AH20" s="387">
        <v>13</v>
      </c>
      <c r="AI20" s="387"/>
      <c r="AJ20" s="387"/>
      <c r="AK20" s="309"/>
      <c r="AL20" s="309"/>
      <c r="AM20" s="388">
        <v>1.327E-4</v>
      </c>
      <c r="AN20" s="388"/>
      <c r="AO20" s="388"/>
      <c r="AP20" s="388"/>
      <c r="AQ20" s="388"/>
      <c r="AR20" s="388"/>
      <c r="AS20" s="388"/>
      <c r="AT20" s="58" t="s">
        <v>269</v>
      </c>
      <c r="AU20" s="58"/>
      <c r="AV20" s="58"/>
      <c r="AW20" s="58"/>
      <c r="AX20" s="11"/>
      <c r="AY20" s="319"/>
      <c r="AZ20" s="3"/>
      <c r="BA20" s="278">
        <v>13</v>
      </c>
      <c r="BB20" s="281">
        <v>3.3</v>
      </c>
      <c r="BC20" s="3"/>
      <c r="BD20" s="282">
        <v>30</v>
      </c>
      <c r="BE20" s="283">
        <v>7.5</v>
      </c>
      <c r="BF20" s="283">
        <v>48.699999999999982</v>
      </c>
      <c r="BG20" s="293">
        <v>0.37</v>
      </c>
      <c r="BH20" s="283">
        <v>1.8</v>
      </c>
      <c r="BI20" s="3"/>
    </row>
    <row r="21" spans="1:63" ht="16.5" customHeight="1" thickBot="1" x14ac:dyDescent="0.2">
      <c r="A21" s="389" t="s">
        <v>20</v>
      </c>
      <c r="B21" s="356"/>
      <c r="C21" s="356"/>
      <c r="D21" s="356"/>
      <c r="E21" s="356"/>
      <c r="F21" s="356"/>
      <c r="G21" s="356"/>
      <c r="H21" s="390"/>
      <c r="I21" s="356" t="s">
        <v>274</v>
      </c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90"/>
      <c r="X21" s="318"/>
      <c r="Y21" s="356" t="s">
        <v>29</v>
      </c>
      <c r="Z21" s="356"/>
      <c r="AA21" s="356"/>
      <c r="AB21" s="356"/>
      <c r="AC21" s="356"/>
      <c r="AD21" s="356"/>
      <c r="AE21" s="356"/>
      <c r="AF21" s="17"/>
      <c r="AG21" s="318"/>
      <c r="AH21" s="391">
        <v>20</v>
      </c>
      <c r="AI21" s="391"/>
      <c r="AJ21" s="391"/>
      <c r="AK21" s="18"/>
      <c r="AL21" s="18"/>
      <c r="AM21" s="392">
        <v>3.1399999999999999E-4</v>
      </c>
      <c r="AN21" s="392"/>
      <c r="AO21" s="392"/>
      <c r="AP21" s="392"/>
      <c r="AQ21" s="392"/>
      <c r="AR21" s="392"/>
      <c r="AS21" s="392"/>
      <c r="AT21" s="319" t="s">
        <v>269</v>
      </c>
      <c r="AU21" s="319"/>
      <c r="AV21" s="319"/>
      <c r="AW21" s="319"/>
      <c r="AX21" s="7"/>
      <c r="AY21" s="319"/>
      <c r="AZ21" s="3"/>
      <c r="BA21" s="280">
        <v>14</v>
      </c>
      <c r="BB21" s="281">
        <v>3.4</v>
      </c>
      <c r="BC21" s="3"/>
      <c r="BD21" s="282">
        <v>35</v>
      </c>
      <c r="BE21" s="283">
        <v>8</v>
      </c>
      <c r="BF21" s="283">
        <v>48.59999999999998</v>
      </c>
      <c r="BG21" s="293">
        <v>0.36</v>
      </c>
      <c r="BH21" s="283">
        <v>1.9</v>
      </c>
      <c r="BI21" s="3"/>
    </row>
    <row r="22" spans="1:63" ht="21" customHeight="1" x14ac:dyDescent="0.1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73" t="s">
        <v>85</v>
      </c>
      <c r="U22" s="425"/>
      <c r="V22" s="425"/>
      <c r="W22" s="425"/>
      <c r="X22" s="425"/>
      <c r="Y22" s="425"/>
      <c r="Z22" s="425"/>
      <c r="AA22" s="425"/>
      <c r="AB22" s="20" t="s">
        <v>32</v>
      </c>
      <c r="AC22" s="20"/>
      <c r="AD22" s="426">
        <f>AT25</f>
        <v>8</v>
      </c>
      <c r="AE22" s="426"/>
      <c r="AF22" s="426"/>
      <c r="AG22" s="426"/>
      <c r="AH22" s="426"/>
      <c r="AI22" s="21" t="s">
        <v>31</v>
      </c>
      <c r="AJ22" s="21"/>
      <c r="AK22" s="427">
        <f>ROUND(U22+AD22,1)</f>
        <v>8</v>
      </c>
      <c r="AL22" s="427"/>
      <c r="AM22" s="427"/>
      <c r="AN22" s="427"/>
      <c r="AO22" s="427"/>
      <c r="AP22" s="427"/>
      <c r="AQ22" s="427"/>
      <c r="AR22" s="427"/>
      <c r="AS22" s="22" t="s">
        <v>32</v>
      </c>
      <c r="AT22" s="20"/>
      <c r="AU22" s="20"/>
      <c r="AV22" s="20"/>
      <c r="AW22" s="20"/>
      <c r="AX22" s="23"/>
      <c r="AY22" s="319"/>
      <c r="AZ22" s="3"/>
      <c r="BA22" s="278">
        <v>15</v>
      </c>
      <c r="BB22" s="281">
        <v>3.5</v>
      </c>
      <c r="BC22" s="3"/>
      <c r="BD22" s="282">
        <v>40</v>
      </c>
      <c r="BE22" s="283">
        <v>8.5</v>
      </c>
      <c r="BF22" s="283">
        <v>48.499999999999979</v>
      </c>
      <c r="BG22" s="293">
        <v>0.35</v>
      </c>
      <c r="BH22" s="283">
        <v>2</v>
      </c>
      <c r="BI22" s="3"/>
    </row>
    <row r="23" spans="1:63" ht="16.5" customHeight="1" x14ac:dyDescent="0.15">
      <c r="A23" s="402" t="s">
        <v>76</v>
      </c>
      <c r="B23" s="403"/>
      <c r="C23" s="403"/>
      <c r="D23" s="403"/>
      <c r="E23" s="403"/>
      <c r="F23" s="403"/>
      <c r="G23" s="403"/>
      <c r="H23" s="404"/>
      <c r="I23" s="408" t="s">
        <v>25</v>
      </c>
      <c r="J23" s="409"/>
      <c r="K23" s="409"/>
      <c r="L23" s="409"/>
      <c r="M23" s="410">
        <f>AS28</f>
        <v>2</v>
      </c>
      <c r="N23" s="410"/>
      <c r="O23" s="410"/>
      <c r="P23" s="311" t="s">
        <v>33</v>
      </c>
      <c r="Q23" s="411"/>
      <c r="R23" s="411"/>
      <c r="S23" s="319" t="s">
        <v>23</v>
      </c>
      <c r="T23" s="412">
        <f>ROUND(M23*Q23,1)</f>
        <v>0</v>
      </c>
      <c r="U23" s="412"/>
      <c r="V23" s="413"/>
      <c r="W23" s="414" t="s">
        <v>34</v>
      </c>
      <c r="X23" s="414"/>
      <c r="Y23" s="414"/>
      <c r="Z23" s="414"/>
      <c r="AA23" s="410">
        <f>AS31</f>
        <v>1</v>
      </c>
      <c r="AB23" s="410"/>
      <c r="AC23" s="410"/>
      <c r="AD23" s="322" t="s">
        <v>33</v>
      </c>
      <c r="AE23" s="411"/>
      <c r="AF23" s="411"/>
      <c r="AG23" s="319" t="s">
        <v>23</v>
      </c>
      <c r="AH23" s="412">
        <f>ROUND(AA23*AE23,1)</f>
        <v>0</v>
      </c>
      <c r="AI23" s="412"/>
      <c r="AJ23" s="413"/>
      <c r="AK23" s="414" t="s">
        <v>35</v>
      </c>
      <c r="AL23" s="414"/>
      <c r="AM23" s="414"/>
      <c r="AN23" s="414"/>
      <c r="AO23" s="410">
        <f>AS34</f>
        <v>8</v>
      </c>
      <c r="AP23" s="410"/>
      <c r="AQ23" s="410"/>
      <c r="AR23" s="311" t="s">
        <v>33</v>
      </c>
      <c r="AS23" s="411">
        <v>1</v>
      </c>
      <c r="AT23" s="411"/>
      <c r="AU23" s="319" t="s">
        <v>23</v>
      </c>
      <c r="AV23" s="412">
        <f>ROUND(AO23*AS23,1)</f>
        <v>8</v>
      </c>
      <c r="AW23" s="412"/>
      <c r="AX23" s="424"/>
      <c r="AY23" s="319"/>
      <c r="AZ23" s="3"/>
      <c r="BA23" s="3"/>
      <c r="BB23" s="3"/>
      <c r="BC23" s="3"/>
      <c r="BD23" s="282">
        <v>50</v>
      </c>
      <c r="BE23" s="283">
        <v>9</v>
      </c>
      <c r="BF23" s="283">
        <v>48.399999999999977</v>
      </c>
      <c r="BG23" s="293">
        <v>0.34</v>
      </c>
      <c r="BH23" s="283">
        <v>2.1</v>
      </c>
      <c r="BI23" s="3"/>
    </row>
    <row r="24" spans="1:63" ht="16.5" customHeight="1" x14ac:dyDescent="0.15">
      <c r="A24" s="389"/>
      <c r="B24" s="356"/>
      <c r="C24" s="356"/>
      <c r="D24" s="356"/>
      <c r="E24" s="356"/>
      <c r="F24" s="356"/>
      <c r="G24" s="356"/>
      <c r="H24" s="405"/>
      <c r="I24" s="421" t="s">
        <v>26</v>
      </c>
      <c r="J24" s="373"/>
      <c r="K24" s="373"/>
      <c r="L24" s="373"/>
      <c r="M24" s="422">
        <f>AS29</f>
        <v>8</v>
      </c>
      <c r="N24" s="422"/>
      <c r="O24" s="422"/>
      <c r="P24" s="308" t="s">
        <v>33</v>
      </c>
      <c r="Q24" s="423"/>
      <c r="R24" s="423"/>
      <c r="S24" s="319" t="s">
        <v>23</v>
      </c>
      <c r="T24" s="428">
        <f>ROUND(M24*Q24,0)</f>
        <v>0</v>
      </c>
      <c r="U24" s="428"/>
      <c r="V24" s="429"/>
      <c r="W24" s="421" t="s">
        <v>27</v>
      </c>
      <c r="X24" s="373"/>
      <c r="Y24" s="373"/>
      <c r="Z24" s="373"/>
      <c r="AA24" s="422">
        <f>AS32</f>
        <v>0.2</v>
      </c>
      <c r="AB24" s="422"/>
      <c r="AC24" s="422"/>
      <c r="AD24" s="321" t="s">
        <v>33</v>
      </c>
      <c r="AE24" s="423"/>
      <c r="AF24" s="423"/>
      <c r="AG24" s="319" t="s">
        <v>23</v>
      </c>
      <c r="AH24" s="428">
        <f>ROUND(AA24*AE24,1)</f>
        <v>0</v>
      </c>
      <c r="AI24" s="428"/>
      <c r="AJ24" s="429"/>
      <c r="AK24" s="430" t="s">
        <v>78</v>
      </c>
      <c r="AL24" s="431"/>
      <c r="AM24" s="431"/>
      <c r="AN24" s="431"/>
      <c r="AO24" s="431"/>
      <c r="AP24" s="431"/>
      <c r="AQ24" s="431"/>
      <c r="AR24" s="65"/>
      <c r="AS24" s="65"/>
      <c r="AT24" s="65"/>
      <c r="AU24" s="66" t="s">
        <v>23</v>
      </c>
      <c r="AV24" s="432"/>
      <c r="AW24" s="432"/>
      <c r="AX24" s="433"/>
      <c r="AY24" s="319"/>
      <c r="AZ24" s="3"/>
      <c r="BA24" s="3"/>
      <c r="BB24" s="3"/>
      <c r="BC24" s="3"/>
      <c r="BD24" s="282"/>
      <c r="BE24" s="283">
        <v>9.5</v>
      </c>
      <c r="BF24" s="283">
        <v>48.299999999999976</v>
      </c>
      <c r="BG24" s="293">
        <v>0.33</v>
      </c>
      <c r="BH24" s="283">
        <v>2.2000000000000002</v>
      </c>
      <c r="BI24" s="3"/>
      <c r="BK24" s="1" t="s">
        <v>287</v>
      </c>
    </row>
    <row r="25" spans="1:63" ht="16.5" customHeight="1" x14ac:dyDescent="0.15">
      <c r="A25" s="406"/>
      <c r="B25" s="333"/>
      <c r="C25" s="333"/>
      <c r="D25" s="333"/>
      <c r="E25" s="333"/>
      <c r="F25" s="333"/>
      <c r="G25" s="333"/>
      <c r="H25" s="407"/>
      <c r="I25" s="415" t="s">
        <v>77</v>
      </c>
      <c r="J25" s="416"/>
      <c r="K25" s="416"/>
      <c r="L25" s="416"/>
      <c r="M25" s="417">
        <f>AS30</f>
        <v>7</v>
      </c>
      <c r="N25" s="417"/>
      <c r="O25" s="417"/>
      <c r="P25" s="312" t="s">
        <v>33</v>
      </c>
      <c r="Q25" s="418"/>
      <c r="R25" s="418"/>
      <c r="S25" s="8" t="s">
        <v>23</v>
      </c>
      <c r="T25" s="419">
        <f>ROUND(M25*Q25,0)</f>
        <v>0</v>
      </c>
      <c r="U25" s="419"/>
      <c r="V25" s="420"/>
      <c r="W25" s="415" t="s">
        <v>28</v>
      </c>
      <c r="X25" s="416"/>
      <c r="Y25" s="416"/>
      <c r="Z25" s="416"/>
      <c r="AA25" s="417">
        <f>AS33</f>
        <v>1.3</v>
      </c>
      <c r="AB25" s="417"/>
      <c r="AC25" s="417"/>
      <c r="AD25" s="320" t="s">
        <v>33</v>
      </c>
      <c r="AE25" s="418"/>
      <c r="AF25" s="418"/>
      <c r="AG25" s="8" t="s">
        <v>23</v>
      </c>
      <c r="AH25" s="419">
        <f>ROUND(AA25*AE25,1)</f>
        <v>0</v>
      </c>
      <c r="AI25" s="419"/>
      <c r="AJ25" s="420"/>
      <c r="AK25" s="434">
        <v>0</v>
      </c>
      <c r="AL25" s="435"/>
      <c r="AM25" s="435"/>
      <c r="AN25" s="435"/>
      <c r="AO25" s="435"/>
      <c r="AP25" s="435"/>
      <c r="AQ25" s="435"/>
      <c r="AR25" s="435"/>
      <c r="AS25" s="435"/>
      <c r="AT25" s="436">
        <f>ROUND(T23+T24+T25+AH23+AH24+AH25+AV23+AV24,1)</f>
        <v>8</v>
      </c>
      <c r="AU25" s="436"/>
      <c r="AV25" s="436"/>
      <c r="AW25" s="436"/>
      <c r="AX25" s="437"/>
      <c r="AY25" s="319"/>
      <c r="AZ25" s="3"/>
      <c r="BA25" s="3"/>
      <c r="BB25" s="3"/>
      <c r="BC25" s="3"/>
      <c r="BD25" s="282"/>
      <c r="BE25" s="283">
        <v>10</v>
      </c>
      <c r="BF25" s="283">
        <v>48.199999999999974</v>
      </c>
      <c r="BG25" s="293">
        <v>0.32</v>
      </c>
      <c r="BH25" s="283">
        <v>2.2999999999999998</v>
      </c>
      <c r="BI25" s="3"/>
    </row>
    <row r="26" spans="1:63" ht="16.5" customHeight="1" x14ac:dyDescent="0.15">
      <c r="A26" s="27" t="s">
        <v>36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2" t="s">
        <v>50</v>
      </c>
      <c r="AA26" s="386" t="s">
        <v>23</v>
      </c>
      <c r="AB26" s="438">
        <f>AK22</f>
        <v>8</v>
      </c>
      <c r="AC26" s="438"/>
      <c r="AD26" s="438"/>
      <c r="AE26" s="438"/>
      <c r="AF26" s="438"/>
      <c r="AG26" s="439" t="s">
        <v>23</v>
      </c>
      <c r="AH26" s="440">
        <f>ROUND(AB26/AB27,0)</f>
        <v>400</v>
      </c>
      <c r="AI26" s="440"/>
      <c r="AJ26" s="440"/>
      <c r="AK26" s="440"/>
      <c r="AL26" s="440"/>
      <c r="AM26" s="442" t="s">
        <v>275</v>
      </c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29"/>
      <c r="AY26" s="319"/>
      <c r="AZ26" s="3"/>
      <c r="BA26" s="51"/>
      <c r="BB26" s="319"/>
      <c r="BC26" s="3"/>
      <c r="BD26" s="282"/>
      <c r="BE26" s="283">
        <v>10.5</v>
      </c>
      <c r="BF26" s="283">
        <v>48.099999999999973</v>
      </c>
      <c r="BG26" s="293">
        <v>0.31</v>
      </c>
      <c r="BH26" s="283">
        <v>2.4</v>
      </c>
      <c r="BI26" s="3"/>
    </row>
    <row r="27" spans="1:63" ht="16.5" customHeight="1" x14ac:dyDescent="0.15">
      <c r="A27" s="476" t="s">
        <v>45</v>
      </c>
      <c r="B27" s="386" t="s">
        <v>23</v>
      </c>
      <c r="C27" s="386" t="s">
        <v>46</v>
      </c>
      <c r="D27" s="386">
        <v>1.26E-2</v>
      </c>
      <c r="E27" s="386"/>
      <c r="F27" s="386"/>
      <c r="G27" s="386"/>
      <c r="H27" s="386"/>
      <c r="I27" s="386" t="s">
        <v>24</v>
      </c>
      <c r="J27" s="397" t="s">
        <v>47</v>
      </c>
      <c r="K27" s="397"/>
      <c r="L27" s="397"/>
      <c r="M27" s="397"/>
      <c r="N27" s="397"/>
      <c r="O27" s="397"/>
      <c r="P27" s="397"/>
      <c r="Q27" s="397"/>
      <c r="R27" s="397"/>
      <c r="S27" s="397"/>
      <c r="T27" s="386" t="s">
        <v>48</v>
      </c>
      <c r="U27" s="455" t="s">
        <v>33</v>
      </c>
      <c r="V27" s="31" t="s">
        <v>50</v>
      </c>
      <c r="W27" s="455" t="s">
        <v>33</v>
      </c>
      <c r="X27" s="397" t="s">
        <v>52</v>
      </c>
      <c r="Y27" s="456"/>
      <c r="Z27" s="28" t="s">
        <v>49</v>
      </c>
      <c r="AA27" s="386"/>
      <c r="AB27" s="457">
        <f>ROUND(AG2/1000,3)</f>
        <v>0.02</v>
      </c>
      <c r="AC27" s="457"/>
      <c r="AD27" s="457"/>
      <c r="AE27" s="457"/>
      <c r="AF27" s="457"/>
      <c r="AG27" s="386"/>
      <c r="AH27" s="441"/>
      <c r="AI27" s="441"/>
      <c r="AJ27" s="441"/>
      <c r="AK27" s="441"/>
      <c r="AL27" s="441"/>
      <c r="AM27" s="458" t="s">
        <v>79</v>
      </c>
      <c r="AN27" s="459"/>
      <c r="AO27" s="459"/>
      <c r="AP27" s="459"/>
      <c r="AQ27" s="459"/>
      <c r="AR27" s="460"/>
      <c r="AS27" s="443">
        <f>AG2</f>
        <v>20</v>
      </c>
      <c r="AT27" s="444"/>
      <c r="AU27" s="444"/>
      <c r="AV27" s="445" t="s">
        <v>83</v>
      </c>
      <c r="AW27" s="446"/>
      <c r="AX27" s="30"/>
      <c r="AY27" s="52"/>
      <c r="AZ27" s="310"/>
      <c r="BA27" s="76">
        <v>13</v>
      </c>
      <c r="BB27" s="76">
        <v>20</v>
      </c>
      <c r="BC27" s="76">
        <v>25</v>
      </c>
      <c r="BD27" s="282"/>
      <c r="BE27" s="283">
        <v>11</v>
      </c>
      <c r="BF27" s="283">
        <v>47.999999999999972</v>
      </c>
      <c r="BG27" s="293">
        <v>0.3</v>
      </c>
      <c r="BH27" s="283">
        <v>2.5</v>
      </c>
      <c r="BI27" s="3"/>
    </row>
    <row r="28" spans="1:63" ht="16.5" customHeight="1" x14ac:dyDescent="0.15">
      <c r="A28" s="476"/>
      <c r="B28" s="386"/>
      <c r="C28" s="386"/>
      <c r="D28" s="386"/>
      <c r="E28" s="386"/>
      <c r="F28" s="386"/>
      <c r="G28" s="386"/>
      <c r="H28" s="386"/>
      <c r="I28" s="386"/>
      <c r="J28" s="447" t="s">
        <v>64</v>
      </c>
      <c r="K28" s="447"/>
      <c r="L28" s="447"/>
      <c r="M28" s="447"/>
      <c r="N28" s="447"/>
      <c r="O28" s="447"/>
      <c r="P28" s="447"/>
      <c r="Q28" s="447"/>
      <c r="R28" s="447"/>
      <c r="S28" s="447"/>
      <c r="T28" s="386"/>
      <c r="U28" s="455"/>
      <c r="V28" s="33" t="s">
        <v>49</v>
      </c>
      <c r="W28" s="455"/>
      <c r="X28" s="447" t="s">
        <v>51</v>
      </c>
      <c r="Y28" s="448"/>
      <c r="Z28" s="449" t="s">
        <v>53</v>
      </c>
      <c r="AA28" s="386" t="s">
        <v>23</v>
      </c>
      <c r="AB28" s="68" t="s">
        <v>54</v>
      </c>
      <c r="AC28" s="386" t="s">
        <v>23</v>
      </c>
      <c r="AD28" s="450" t="e">
        <f>AL18</f>
        <v>#N/A</v>
      </c>
      <c r="AE28" s="450"/>
      <c r="AF28" s="450"/>
      <c r="AG28" s="450"/>
      <c r="AH28" s="450"/>
      <c r="AI28" s="450"/>
      <c r="AJ28" s="450"/>
      <c r="AK28" s="319"/>
      <c r="AL28" s="319"/>
      <c r="AM28" s="451" t="s">
        <v>25</v>
      </c>
      <c r="AN28" s="451"/>
      <c r="AO28" s="451"/>
      <c r="AP28" s="451"/>
      <c r="AQ28" s="451"/>
      <c r="AR28" s="451"/>
      <c r="AS28" s="452">
        <f>IF(AS27=0,0,HLOOKUP($AS$27,$BA$27:$BC$39,2,FALSE))</f>
        <v>2</v>
      </c>
      <c r="AT28" s="453"/>
      <c r="AU28" s="453"/>
      <c r="AV28" s="453"/>
      <c r="AW28" s="454"/>
      <c r="AX28" s="32"/>
      <c r="AY28" s="53"/>
      <c r="AZ28" s="468" t="s">
        <v>75</v>
      </c>
      <c r="BA28" s="54">
        <v>1.5</v>
      </c>
      <c r="BB28" s="54">
        <v>2</v>
      </c>
      <c r="BC28" s="54">
        <v>3</v>
      </c>
      <c r="BD28" s="282"/>
      <c r="BE28" s="283">
        <v>11.5</v>
      </c>
      <c r="BF28" s="283">
        <v>47.89999999999997</v>
      </c>
      <c r="BG28" s="293">
        <v>0.28999999999999998</v>
      </c>
      <c r="BH28" s="283">
        <v>2.6</v>
      </c>
      <c r="BI28" s="3"/>
    </row>
    <row r="29" spans="1:63" ht="16.5" customHeight="1" x14ac:dyDescent="0.15">
      <c r="A29" s="27"/>
      <c r="B29" s="69" t="s">
        <v>80</v>
      </c>
      <c r="C29" s="69"/>
      <c r="D29" s="469" t="e">
        <f>IF(A53=1,ROUND((0.0126+AH34/AC35)*AH26*AC33,1),0)</f>
        <v>#N/A</v>
      </c>
      <c r="E29" s="469"/>
      <c r="F29" s="469"/>
      <c r="G29" s="469"/>
      <c r="H29" s="469"/>
      <c r="I29" s="469"/>
      <c r="J29" s="469"/>
      <c r="K29" s="3"/>
      <c r="L29" s="3"/>
      <c r="M29" s="3"/>
      <c r="N29" s="3"/>
      <c r="O29" s="3"/>
      <c r="P29" s="3"/>
      <c r="Q29" s="3"/>
      <c r="R29" s="3"/>
      <c r="S29" s="3"/>
      <c r="T29" s="69"/>
      <c r="U29" s="71"/>
      <c r="V29" s="3"/>
      <c r="W29" s="71"/>
      <c r="X29" s="3"/>
      <c r="Y29" s="3"/>
      <c r="Z29" s="449"/>
      <c r="AA29" s="386"/>
      <c r="AB29" s="69" t="s">
        <v>29</v>
      </c>
      <c r="AC29" s="386"/>
      <c r="AD29" s="470">
        <f>HLOOKUP($AG$2,$BA$27:$BC$40,14)</f>
        <v>3.1399999999999999E-4</v>
      </c>
      <c r="AE29" s="470"/>
      <c r="AF29" s="470"/>
      <c r="AG29" s="470"/>
      <c r="AH29" s="470"/>
      <c r="AI29" s="470"/>
      <c r="AJ29" s="470"/>
      <c r="AK29" s="34"/>
      <c r="AL29" s="34"/>
      <c r="AM29" s="451" t="s">
        <v>26</v>
      </c>
      <c r="AN29" s="451"/>
      <c r="AO29" s="451"/>
      <c r="AP29" s="451"/>
      <c r="AQ29" s="451"/>
      <c r="AR29" s="451"/>
      <c r="AS29" s="452">
        <f>IF(AS27=0,0,HLOOKUP($AS$27,$BA$27:$BC$39,3,FALSE))</f>
        <v>8</v>
      </c>
      <c r="AT29" s="453"/>
      <c r="AU29" s="453"/>
      <c r="AV29" s="453"/>
      <c r="AW29" s="454"/>
      <c r="AX29" s="32"/>
      <c r="AY29" s="53"/>
      <c r="AZ29" s="468"/>
      <c r="BA29" s="55">
        <v>3</v>
      </c>
      <c r="BB29" s="55">
        <v>8</v>
      </c>
      <c r="BC29" s="55">
        <v>10</v>
      </c>
      <c r="BD29" s="284"/>
      <c r="BE29" s="283">
        <v>12</v>
      </c>
      <c r="BF29" s="283">
        <v>47.799999999999969</v>
      </c>
      <c r="BG29" s="293">
        <v>0.28000000000000003</v>
      </c>
      <c r="BH29" s="283">
        <v>2.7</v>
      </c>
      <c r="BI29" s="3"/>
    </row>
    <row r="30" spans="1:63" ht="16.5" customHeight="1" x14ac:dyDescent="0.15">
      <c r="A30" s="471" t="e">
        <f>IF(A53&lt;&gt;1,"口径,水量,延長を記入ください","")</f>
        <v>#N/A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3"/>
      <c r="Z30" s="28"/>
      <c r="AA30" s="69"/>
      <c r="AB30" s="69"/>
      <c r="AC30" s="69" t="s">
        <v>23</v>
      </c>
      <c r="AD30" s="474" t="e">
        <f>ROUND(AD28/AD29,3)</f>
        <v>#N/A</v>
      </c>
      <c r="AE30" s="474"/>
      <c r="AF30" s="474"/>
      <c r="AG30" s="474"/>
      <c r="AH30" s="474"/>
      <c r="AI30" s="474"/>
      <c r="AJ30" s="474"/>
      <c r="AK30" s="35"/>
      <c r="AL30" s="35"/>
      <c r="AM30" s="451" t="s">
        <v>77</v>
      </c>
      <c r="AN30" s="451"/>
      <c r="AO30" s="451"/>
      <c r="AP30" s="451"/>
      <c r="AQ30" s="451"/>
      <c r="AR30" s="451"/>
      <c r="AS30" s="452">
        <f>IF(AS27=0,0,HLOOKUP($AS$27,$BA$27:$BC$39,4,FALSE))</f>
        <v>7</v>
      </c>
      <c r="AT30" s="453"/>
      <c r="AU30" s="453"/>
      <c r="AV30" s="453"/>
      <c r="AW30" s="454"/>
      <c r="AX30" s="32"/>
      <c r="AY30" s="53"/>
      <c r="AZ30" s="468"/>
      <c r="BA30" s="54">
        <v>4</v>
      </c>
      <c r="BB30" s="54">
        <v>7</v>
      </c>
      <c r="BC30" s="54">
        <v>11</v>
      </c>
      <c r="BD30" s="284"/>
      <c r="BE30" s="283">
        <v>12.5</v>
      </c>
      <c r="BF30" s="283">
        <v>47.699999999999967</v>
      </c>
      <c r="BG30" s="293">
        <v>0.27</v>
      </c>
      <c r="BH30" s="283">
        <v>2.8</v>
      </c>
      <c r="BI30" s="3"/>
    </row>
    <row r="31" spans="1:63" ht="16.5" customHeight="1" x14ac:dyDescent="0.15">
      <c r="A31" s="471"/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3"/>
      <c r="Z31" s="475" t="s">
        <v>52</v>
      </c>
      <c r="AA31" s="397"/>
      <c r="AB31" s="386" t="s">
        <v>23</v>
      </c>
      <c r="AC31" s="480" t="e">
        <f>AD30</f>
        <v>#N/A</v>
      </c>
      <c r="AD31" s="480"/>
      <c r="AE31" s="480"/>
      <c r="AF31" s="480"/>
      <c r="AG31" s="480"/>
      <c r="AH31" s="36">
        <v>2</v>
      </c>
      <c r="AI31" s="94"/>
      <c r="AJ31" s="94"/>
      <c r="AK31" s="94"/>
      <c r="AL31" s="95"/>
      <c r="AM31" s="451" t="s">
        <v>39</v>
      </c>
      <c r="AN31" s="451"/>
      <c r="AO31" s="451"/>
      <c r="AP31" s="451"/>
      <c r="AQ31" s="451"/>
      <c r="AR31" s="451"/>
      <c r="AS31" s="452">
        <f>IF(AS27=0,0,HLOOKUP($AS$27,$BA$27:$BC$39,5,FALSE))</f>
        <v>1</v>
      </c>
      <c r="AT31" s="453"/>
      <c r="AU31" s="453"/>
      <c r="AV31" s="453"/>
      <c r="AW31" s="454"/>
      <c r="AX31" s="32"/>
      <c r="AY31" s="53"/>
      <c r="AZ31" s="468"/>
      <c r="BA31" s="55">
        <v>0.6</v>
      </c>
      <c r="BB31" s="55">
        <v>1</v>
      </c>
      <c r="BC31" s="55">
        <v>1.3</v>
      </c>
      <c r="BD31" s="284"/>
      <c r="BE31" s="283">
        <v>13</v>
      </c>
      <c r="BF31" s="283">
        <v>47.599999999999966</v>
      </c>
      <c r="BG31" s="293">
        <v>0.26</v>
      </c>
      <c r="BH31" s="283">
        <v>2.9</v>
      </c>
      <c r="BI31" s="3"/>
    </row>
    <row r="32" spans="1:63" ht="16.5" customHeight="1" x14ac:dyDescent="0.15">
      <c r="A32" s="461" t="str">
        <f>IF(OR(ISERROR(AA44),ISERROR(B44)),"",IF(AND(AA44&lt;0,B44&gt;0),"残存水頭計算が0m以下(異常値)であるため、器具栓数をすべて0とし、(B)へ出水可能水量を仮定入力し、残存水頭が0以上となるよう逆算すること。",""))</f>
        <v/>
      </c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3"/>
      <c r="Z32" s="464" t="s">
        <v>51</v>
      </c>
      <c r="AA32" s="447"/>
      <c r="AB32" s="386"/>
      <c r="AC32" s="465" t="s">
        <v>93</v>
      </c>
      <c r="AD32" s="465"/>
      <c r="AE32" s="465"/>
      <c r="AF32" s="465"/>
      <c r="AG32" s="465"/>
      <c r="AH32" s="3"/>
      <c r="AI32" s="94"/>
      <c r="AJ32" s="94"/>
      <c r="AK32" s="94"/>
      <c r="AL32" s="95"/>
      <c r="AM32" s="466" t="s">
        <v>37</v>
      </c>
      <c r="AN32" s="466"/>
      <c r="AO32" s="466"/>
      <c r="AP32" s="466"/>
      <c r="AQ32" s="466"/>
      <c r="AR32" s="466"/>
      <c r="AS32" s="452">
        <f>IF(AS27=0,0,HLOOKUP($AS$27,$BA$27:$BC$39,6,FALSE))</f>
        <v>0.2</v>
      </c>
      <c r="AT32" s="453"/>
      <c r="AU32" s="453"/>
      <c r="AV32" s="453"/>
      <c r="AW32" s="454"/>
      <c r="AX32" s="32"/>
      <c r="AY32" s="53"/>
      <c r="AZ32" s="468"/>
      <c r="BA32" s="54">
        <v>0.2</v>
      </c>
      <c r="BB32" s="54">
        <v>0.2</v>
      </c>
      <c r="BC32" s="54">
        <v>0.3</v>
      </c>
      <c r="BD32" s="284"/>
      <c r="BE32" s="283">
        <v>13.5</v>
      </c>
      <c r="BF32" s="283">
        <v>47.499999999999964</v>
      </c>
      <c r="BG32" s="293">
        <v>0.25</v>
      </c>
      <c r="BH32" s="283">
        <v>3</v>
      </c>
      <c r="BI32" s="3"/>
    </row>
    <row r="33" spans="1:68" ht="16.5" customHeight="1" x14ac:dyDescent="0.15">
      <c r="A33" s="461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3"/>
      <c r="Z33" s="467"/>
      <c r="AA33" s="465"/>
      <c r="AB33" s="69" t="s">
        <v>23</v>
      </c>
      <c r="AC33" s="477" t="e">
        <f>ROUND(AC31*AC31/19.6,4)</f>
        <v>#N/A</v>
      </c>
      <c r="AD33" s="477"/>
      <c r="AE33" s="477"/>
      <c r="AF33" s="477"/>
      <c r="AG33" s="477"/>
      <c r="AH33" s="477"/>
      <c r="AI33" s="306"/>
      <c r="AJ33" s="306"/>
      <c r="AK33" s="307"/>
      <c r="AL33" s="319"/>
      <c r="AM33" s="466" t="s">
        <v>38</v>
      </c>
      <c r="AN33" s="466"/>
      <c r="AO33" s="466"/>
      <c r="AP33" s="466"/>
      <c r="AQ33" s="466"/>
      <c r="AR33" s="466"/>
      <c r="AS33" s="452">
        <f>IF(AS27=0,0,HLOOKUP($AS$27,$BA$27:$BC$39,7,FALSE))</f>
        <v>1.3</v>
      </c>
      <c r="AT33" s="453"/>
      <c r="AU33" s="453"/>
      <c r="AV33" s="453"/>
      <c r="AW33" s="454"/>
      <c r="AX33" s="32"/>
      <c r="AY33" s="53"/>
      <c r="AZ33" s="468"/>
      <c r="BA33" s="55">
        <v>0.9</v>
      </c>
      <c r="BB33" s="55">
        <v>1.3</v>
      </c>
      <c r="BC33" s="55">
        <v>1.5</v>
      </c>
      <c r="BD33" s="284"/>
      <c r="BE33" s="283">
        <v>14</v>
      </c>
      <c r="BF33" s="283">
        <v>47.399999999999963</v>
      </c>
      <c r="BG33" s="293">
        <v>0.24</v>
      </c>
      <c r="BH33" s="283">
        <v>3.1</v>
      </c>
      <c r="BI33" s="3"/>
    </row>
    <row r="34" spans="1:68" ht="16.5" customHeight="1" x14ac:dyDescent="0.15">
      <c r="A34" s="461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3"/>
      <c r="Z34" s="96" t="s">
        <v>94</v>
      </c>
      <c r="AA34" s="69"/>
      <c r="AB34" s="69"/>
      <c r="AC34" s="3"/>
      <c r="AD34" s="3"/>
      <c r="AE34" s="3"/>
      <c r="AF34" s="3"/>
      <c r="AG34" s="3"/>
      <c r="AH34" s="478">
        <f>ROUND(0.01739-(0.1087*AB27),4)</f>
        <v>1.52E-2</v>
      </c>
      <c r="AI34" s="478"/>
      <c r="AJ34" s="478"/>
      <c r="AK34" s="478"/>
      <c r="AL34" s="479"/>
      <c r="AM34" s="451" t="s">
        <v>35</v>
      </c>
      <c r="AN34" s="451"/>
      <c r="AO34" s="451"/>
      <c r="AP34" s="451"/>
      <c r="AQ34" s="451"/>
      <c r="AR34" s="451"/>
      <c r="AS34" s="452">
        <f>IF(AS27=0,0,HLOOKUP($AS$27,$BA$27:$BC$39,8,FALSE))</f>
        <v>8</v>
      </c>
      <c r="AT34" s="453"/>
      <c r="AU34" s="453"/>
      <c r="AV34" s="453"/>
      <c r="AW34" s="454"/>
      <c r="AX34" s="32"/>
      <c r="AY34" s="53"/>
      <c r="AZ34" s="468"/>
      <c r="BA34" s="54">
        <v>3</v>
      </c>
      <c r="BB34" s="54">
        <v>8</v>
      </c>
      <c r="BC34" s="54">
        <v>8</v>
      </c>
      <c r="BD34" s="284"/>
      <c r="BE34" s="283">
        <v>14.5</v>
      </c>
      <c r="BF34" s="283">
        <v>47.299999999999962</v>
      </c>
      <c r="BG34" s="293">
        <v>0.23</v>
      </c>
      <c r="BH34" s="283">
        <v>3.2</v>
      </c>
      <c r="BI34" s="3"/>
    </row>
    <row r="35" spans="1:68" ht="16.5" customHeight="1" x14ac:dyDescent="0.15">
      <c r="A35" s="461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3"/>
      <c r="Z35" s="449" t="s">
        <v>64</v>
      </c>
      <c r="AA35" s="386"/>
      <c r="AB35" s="69" t="s">
        <v>23</v>
      </c>
      <c r="AC35" s="484" t="e">
        <f>ROUND(SQRT(AD30),3)</f>
        <v>#N/A</v>
      </c>
      <c r="AD35" s="484"/>
      <c r="AE35" s="484"/>
      <c r="AF35" s="484"/>
      <c r="AG35" s="484"/>
      <c r="AH35" s="484"/>
      <c r="AI35" s="484"/>
      <c r="AJ35" s="484"/>
      <c r="AK35" s="319"/>
      <c r="AL35" s="319"/>
      <c r="AM35" s="451" t="s">
        <v>40</v>
      </c>
      <c r="AN35" s="451"/>
      <c r="AO35" s="451"/>
      <c r="AP35" s="451"/>
      <c r="AQ35" s="451"/>
      <c r="AR35" s="451"/>
      <c r="AS35" s="452">
        <f>IF(AS27=0,0,HLOOKUP($AS$27,$BA$27:$BC$39,9,FALSE))</f>
        <v>5</v>
      </c>
      <c r="AT35" s="453"/>
      <c r="AU35" s="453"/>
      <c r="AV35" s="453"/>
      <c r="AW35" s="454"/>
      <c r="AX35" s="32"/>
      <c r="AY35" s="53"/>
      <c r="AZ35" s="468"/>
      <c r="BA35" s="55">
        <v>3.8</v>
      </c>
      <c r="BB35" s="55">
        <v>5</v>
      </c>
      <c r="BC35" s="55">
        <v>6</v>
      </c>
      <c r="BD35" s="284"/>
      <c r="BE35" s="283">
        <v>15</v>
      </c>
      <c r="BF35" s="283">
        <v>47.19999999999996</v>
      </c>
      <c r="BG35" s="293">
        <v>0.22</v>
      </c>
      <c r="BH35" s="283">
        <v>3.3</v>
      </c>
      <c r="BI35" s="3"/>
    </row>
    <row r="36" spans="1:68" ht="16.5" customHeight="1" x14ac:dyDescent="0.15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3"/>
      <c r="Z36" s="449"/>
      <c r="AA36" s="386"/>
      <c r="AB36" s="69"/>
      <c r="AC36" s="485"/>
      <c r="AD36" s="485"/>
      <c r="AE36" s="485"/>
      <c r="AF36" s="485"/>
      <c r="AG36" s="485"/>
      <c r="AH36" s="485"/>
      <c r="AI36" s="485"/>
      <c r="AJ36" s="69"/>
      <c r="AK36" s="319"/>
      <c r="AL36" s="319"/>
      <c r="AM36" s="451" t="s">
        <v>41</v>
      </c>
      <c r="AN36" s="451"/>
      <c r="AO36" s="451"/>
      <c r="AP36" s="451"/>
      <c r="AQ36" s="451"/>
      <c r="AR36" s="451"/>
      <c r="AS36" s="452">
        <f>IF(AS27=0,0,HLOOKUP($AS$27,$BA$27:$BC$39,10,FALSE))</f>
        <v>0.2</v>
      </c>
      <c r="AT36" s="453"/>
      <c r="AU36" s="453"/>
      <c r="AV36" s="453"/>
      <c r="AW36" s="454"/>
      <c r="AX36" s="32"/>
      <c r="AY36" s="53"/>
      <c r="AZ36" s="468"/>
      <c r="BA36" s="54">
        <v>0.1</v>
      </c>
      <c r="BB36" s="54">
        <v>0.2</v>
      </c>
      <c r="BC36" s="54">
        <v>0.3</v>
      </c>
      <c r="BD36" s="284"/>
      <c r="BE36" s="283">
        <v>15.5</v>
      </c>
      <c r="BF36" s="283">
        <v>47.099999999999959</v>
      </c>
      <c r="BG36" s="293">
        <v>0.21</v>
      </c>
      <c r="BH36" s="283">
        <v>3.4</v>
      </c>
      <c r="BI36" s="3"/>
    </row>
    <row r="37" spans="1:68" ht="16.5" customHeight="1" x14ac:dyDescent="0.15">
      <c r="A37" s="27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0"/>
      <c r="Z37" s="69"/>
      <c r="AA37" s="69"/>
      <c r="AB37" s="69"/>
      <c r="AC37" s="69"/>
      <c r="AD37" s="69"/>
      <c r="AE37" s="69"/>
      <c r="AF37" s="69"/>
      <c r="AG37" s="69"/>
      <c r="AH37" s="69"/>
      <c r="AI37" s="306"/>
      <c r="AJ37" s="306"/>
      <c r="AK37" s="307"/>
      <c r="AL37" s="319"/>
      <c r="AM37" s="451" t="s">
        <v>42</v>
      </c>
      <c r="AN37" s="451"/>
      <c r="AO37" s="451"/>
      <c r="AP37" s="451"/>
      <c r="AQ37" s="451"/>
      <c r="AR37" s="451"/>
      <c r="AS37" s="452">
        <f>IF(AS27=0,0,HLOOKUP($AS$27,$BA$27:$BC$39,11,FALSE))</f>
        <v>8</v>
      </c>
      <c r="AT37" s="453"/>
      <c r="AU37" s="453"/>
      <c r="AV37" s="453"/>
      <c r="AW37" s="454"/>
      <c r="AX37" s="32"/>
      <c r="AY37" s="53"/>
      <c r="AZ37" s="468"/>
      <c r="BA37" s="55">
        <v>4</v>
      </c>
      <c r="BB37" s="55">
        <v>8</v>
      </c>
      <c r="BC37" s="55">
        <v>11</v>
      </c>
      <c r="BD37" s="284"/>
      <c r="BE37" s="283">
        <v>16</v>
      </c>
      <c r="BF37" s="283">
        <v>46.999999999999957</v>
      </c>
      <c r="BG37" s="293">
        <v>0.2</v>
      </c>
      <c r="BH37" s="283">
        <v>3.5</v>
      </c>
      <c r="BI37" s="3"/>
    </row>
    <row r="38" spans="1:68" ht="16.5" customHeight="1" x14ac:dyDescent="0.1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481"/>
      <c r="AA38" s="482"/>
      <c r="AB38" s="37"/>
      <c r="AC38" s="483"/>
      <c r="AD38" s="483"/>
      <c r="AE38" s="483"/>
      <c r="AF38" s="483"/>
      <c r="AG38" s="483"/>
      <c r="AH38" s="483"/>
      <c r="AI38" s="37"/>
      <c r="AJ38" s="37"/>
      <c r="AK38" s="22"/>
      <c r="AL38" s="22"/>
      <c r="AM38" s="451" t="s">
        <v>43</v>
      </c>
      <c r="AN38" s="451"/>
      <c r="AO38" s="451"/>
      <c r="AP38" s="451"/>
      <c r="AQ38" s="451"/>
      <c r="AR38" s="451"/>
      <c r="AS38" s="452">
        <f>IF(AS27=0,0,HLOOKUP($AS$27,$BA$27:$BC$39,12,FALSE))</f>
        <v>3.7</v>
      </c>
      <c r="AT38" s="453"/>
      <c r="AU38" s="453"/>
      <c r="AV38" s="453"/>
      <c r="AW38" s="454"/>
      <c r="AX38" s="32"/>
      <c r="AY38" s="53"/>
      <c r="AZ38" s="468"/>
      <c r="BA38" s="54">
        <v>3</v>
      </c>
      <c r="BB38" s="54">
        <v>3.7</v>
      </c>
      <c r="BC38" s="54">
        <v>4.5999999999999996</v>
      </c>
      <c r="BD38" s="284"/>
      <c r="BE38" s="283">
        <v>16.5</v>
      </c>
      <c r="BF38" s="283">
        <v>46.899999999999956</v>
      </c>
      <c r="BG38" s="293">
        <v>0.19</v>
      </c>
      <c r="BH38" s="283">
        <v>3.6</v>
      </c>
      <c r="BI38" s="3"/>
    </row>
    <row r="39" spans="1:68" ht="16.5" customHeight="1" x14ac:dyDescent="0.15">
      <c r="A39" s="486" t="s">
        <v>55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8"/>
      <c r="AJ39" s="8"/>
      <c r="AK39" s="8"/>
      <c r="AL39" s="8"/>
      <c r="AM39" s="466" t="s">
        <v>44</v>
      </c>
      <c r="AN39" s="466"/>
      <c r="AO39" s="466"/>
      <c r="AP39" s="466"/>
      <c r="AQ39" s="466"/>
      <c r="AR39" s="466"/>
      <c r="AS39" s="452">
        <f>IF(AS27=0,0,HLOOKUP($AS$27,$BA$27:$BC$39,13,FALSE))</f>
        <v>1</v>
      </c>
      <c r="AT39" s="453"/>
      <c r="AU39" s="453"/>
      <c r="AV39" s="453"/>
      <c r="AW39" s="454"/>
      <c r="AX39" s="74"/>
      <c r="AY39" s="53"/>
      <c r="AZ39" s="468"/>
      <c r="BA39" s="55">
        <v>1</v>
      </c>
      <c r="BB39" s="55">
        <v>1</v>
      </c>
      <c r="BC39" s="55">
        <v>1</v>
      </c>
      <c r="BD39" s="284"/>
      <c r="BE39" s="283">
        <v>17</v>
      </c>
      <c r="BF39" s="283">
        <v>46.799999999999955</v>
      </c>
      <c r="BG39" s="293">
        <v>0.18</v>
      </c>
      <c r="BH39" s="283">
        <v>3.7</v>
      </c>
      <c r="BI39" s="3"/>
      <c r="BJ39" s="87"/>
      <c r="BK39" s="87"/>
      <c r="BL39" s="87"/>
      <c r="BM39" s="87"/>
      <c r="BN39" s="87"/>
      <c r="BO39" s="87"/>
      <c r="BP39" s="87"/>
    </row>
    <row r="40" spans="1:68" ht="18" customHeight="1" x14ac:dyDescent="0.15">
      <c r="A40" s="252" t="s">
        <v>84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488" t="str">
        <f>IF(B41=0,"下記設計水頭は、別紙水理計算書の残水頭とする","")</f>
        <v>下記設計水頭は、別紙水理計算書の残水頭とする</v>
      </c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9"/>
      <c r="AY40" s="319"/>
      <c r="AZ40" s="77" t="s">
        <v>82</v>
      </c>
      <c r="BA40" s="78">
        <v>1.327E-4</v>
      </c>
      <c r="BB40" s="78">
        <v>3.1399999999999999E-4</v>
      </c>
      <c r="BC40" s="78">
        <v>4.8999999999999998E-4</v>
      </c>
      <c r="BD40" s="284"/>
      <c r="BE40" s="283">
        <v>17.5</v>
      </c>
      <c r="BF40" s="283">
        <v>46.699999999999953</v>
      </c>
      <c r="BG40" s="294">
        <v>0.17</v>
      </c>
      <c r="BH40" s="283">
        <v>3.8</v>
      </c>
      <c r="BI40" s="3"/>
      <c r="BJ40" s="87"/>
      <c r="BK40" s="92"/>
      <c r="BL40" s="92"/>
      <c r="BM40" s="92"/>
      <c r="BN40" s="92"/>
      <c r="BO40" s="92"/>
      <c r="BP40" s="92"/>
    </row>
    <row r="41" spans="1:68" ht="20.25" customHeight="1" x14ac:dyDescent="0.15">
      <c r="A41" s="39"/>
      <c r="B41" s="490"/>
      <c r="C41" s="490"/>
      <c r="D41" s="490"/>
      <c r="E41" s="490"/>
      <c r="F41" s="490"/>
      <c r="G41" s="490"/>
      <c r="H41" s="8">
        <v>0.35</v>
      </c>
      <c r="I41" s="8" t="s">
        <v>283</v>
      </c>
      <c r="J41" s="40"/>
      <c r="K41" s="8"/>
      <c r="L41" s="8"/>
      <c r="M41" s="8"/>
      <c r="N41" s="40"/>
      <c r="O41" s="40"/>
      <c r="P41" s="40"/>
      <c r="Q41" s="40"/>
      <c r="R41" s="40"/>
      <c r="S41" s="491" t="e">
        <f>IF(AND(B41&gt;0,A53=1),ROUND(B41*95,1),0)</f>
        <v>#N/A</v>
      </c>
      <c r="T41" s="491"/>
      <c r="U41" s="491"/>
      <c r="V41" s="491"/>
      <c r="W41" s="491"/>
      <c r="X41" s="491"/>
      <c r="Y41" s="68" t="e">
        <f>IF(AND(B41&gt;0,A53=1),"ｍ：設計水頭","")</f>
        <v>#N/A</v>
      </c>
      <c r="Z41" s="88"/>
      <c r="AA41" s="88"/>
      <c r="AB41" s="88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8"/>
      <c r="AP41" s="8"/>
      <c r="AQ41" s="8"/>
      <c r="AR41" s="8" t="str">
        <f>IF(AI41&gt;0,"：設計水頭","")</f>
        <v/>
      </c>
      <c r="AS41" s="8"/>
      <c r="AT41" s="8"/>
      <c r="AU41" s="8"/>
      <c r="AV41" s="8"/>
      <c r="AW41" s="8"/>
      <c r="AX41" s="49"/>
      <c r="AY41" s="319"/>
      <c r="AZ41" s="3"/>
      <c r="BA41" s="3"/>
      <c r="BB41" s="3"/>
      <c r="BC41" s="3"/>
      <c r="BD41" s="284"/>
      <c r="BE41" s="283">
        <v>18</v>
      </c>
      <c r="BF41" s="283">
        <v>46.599999999999952</v>
      </c>
      <c r="BG41" s="293">
        <v>0.16</v>
      </c>
      <c r="BH41" s="283">
        <v>3.9</v>
      </c>
      <c r="BI41" s="3"/>
      <c r="BJ41" s="87"/>
      <c r="BK41" s="87"/>
      <c r="BL41" s="87"/>
      <c r="BM41" s="87"/>
      <c r="BN41" s="87"/>
      <c r="BO41" s="87"/>
      <c r="BP41" s="87"/>
    </row>
    <row r="42" spans="1:68" ht="15.75" customHeight="1" x14ac:dyDescent="0.15">
      <c r="A42" s="4" t="s">
        <v>56</v>
      </c>
      <c r="B42" s="58"/>
      <c r="C42" s="58"/>
      <c r="D42" s="58"/>
      <c r="E42" s="58"/>
      <c r="F42" s="58"/>
      <c r="G42" s="58"/>
      <c r="H42" s="58"/>
      <c r="I42" s="58"/>
      <c r="J42" s="58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00"/>
      <c r="AP42" s="500"/>
      <c r="AQ42" s="500"/>
      <c r="AR42" s="500"/>
      <c r="AS42" s="500"/>
      <c r="AT42" s="500"/>
      <c r="AU42" s="500"/>
      <c r="AV42" s="500"/>
      <c r="AW42" s="500"/>
      <c r="AX42" s="501"/>
      <c r="AY42" s="319"/>
      <c r="AZ42" s="3"/>
      <c r="BA42" s="3"/>
      <c r="BB42" s="3"/>
      <c r="BC42" s="3"/>
      <c r="BD42" s="284"/>
      <c r="BE42" s="283">
        <v>18.5</v>
      </c>
      <c r="BF42" s="283">
        <v>46.49999999999995</v>
      </c>
      <c r="BG42" s="293">
        <v>0.15</v>
      </c>
      <c r="BH42" s="283">
        <v>4</v>
      </c>
      <c r="BI42" s="3"/>
      <c r="BJ42" s="87"/>
      <c r="BK42" s="87"/>
      <c r="BL42" s="87"/>
      <c r="BM42" s="87"/>
      <c r="BN42" s="87"/>
      <c r="BO42" s="87"/>
      <c r="BP42" s="87"/>
    </row>
    <row r="43" spans="1:68" ht="12.75" customHeight="1" x14ac:dyDescent="0.15">
      <c r="A43" s="41"/>
      <c r="B43" s="89" t="s">
        <v>57</v>
      </c>
      <c r="C43" s="42"/>
      <c r="D43" s="42"/>
      <c r="E43" s="42"/>
      <c r="F43" s="42"/>
      <c r="G43" s="42"/>
      <c r="H43" s="89" t="s">
        <v>62</v>
      </c>
      <c r="I43" s="42"/>
      <c r="J43" s="42"/>
      <c r="K43" s="42"/>
      <c r="L43" s="42"/>
      <c r="M43" s="42"/>
      <c r="N43" s="89" t="s">
        <v>61</v>
      </c>
      <c r="O43" s="42"/>
      <c r="P43" s="42"/>
      <c r="Q43" s="42"/>
      <c r="R43" s="42"/>
      <c r="S43" s="42"/>
      <c r="T43" s="89" t="s">
        <v>60</v>
      </c>
      <c r="U43" s="89"/>
      <c r="V43" s="42"/>
      <c r="W43" s="42"/>
      <c r="X43" s="42"/>
      <c r="Y43" s="42"/>
      <c r="Z43" s="42"/>
      <c r="AA43" s="89"/>
      <c r="AB43" s="89" t="s">
        <v>59</v>
      </c>
      <c r="AC43" s="42"/>
      <c r="AD43" s="42"/>
      <c r="AE43" s="42"/>
      <c r="AF43" s="42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4"/>
      <c r="AY43" s="319"/>
      <c r="AZ43" s="3"/>
      <c r="BA43" s="3"/>
      <c r="BB43" s="3"/>
      <c r="BC43" s="3"/>
      <c r="BD43" s="284"/>
      <c r="BE43" s="283">
        <v>19</v>
      </c>
      <c r="BF43" s="283">
        <v>46.4</v>
      </c>
      <c r="BG43" s="293">
        <v>0.14000000000000001</v>
      </c>
      <c r="BH43" s="283">
        <v>4.0999999999999996</v>
      </c>
      <c r="BI43" s="3"/>
      <c r="BJ43" s="87"/>
      <c r="BK43" s="87"/>
      <c r="BL43" s="87"/>
      <c r="BM43" s="87"/>
      <c r="BN43" s="87"/>
      <c r="BO43" s="87"/>
      <c r="BP43" s="87"/>
    </row>
    <row r="44" spans="1:68" s="2" customFormat="1" ht="19.5" customHeight="1" x14ac:dyDescent="0.15">
      <c r="A44" s="45"/>
      <c r="B44" s="502" t="e">
        <f>IF(S41&gt;0,S41,口径50mm以下!CV45)</f>
        <v>#N/A</v>
      </c>
      <c r="C44" s="502"/>
      <c r="D44" s="502"/>
      <c r="E44" s="502"/>
      <c r="F44" s="40" t="s">
        <v>30</v>
      </c>
      <c r="G44" s="40"/>
      <c r="H44" s="503"/>
      <c r="I44" s="503"/>
      <c r="J44" s="503"/>
      <c r="K44" s="503"/>
      <c r="L44" s="40" t="s">
        <v>58</v>
      </c>
      <c r="M44" s="40"/>
      <c r="N44" s="504"/>
      <c r="O44" s="504"/>
      <c r="P44" s="504"/>
      <c r="Q44" s="504"/>
      <c r="R44" s="40" t="s">
        <v>290</v>
      </c>
      <c r="S44" s="40" t="s">
        <v>288</v>
      </c>
      <c r="T44" s="505" t="e">
        <f>D29</f>
        <v>#N/A</v>
      </c>
      <c r="U44" s="505"/>
      <c r="V44" s="505"/>
      <c r="W44" s="505"/>
      <c r="X44" s="505"/>
      <c r="Y44" s="46" t="s">
        <v>31</v>
      </c>
      <c r="Z44" s="46"/>
      <c r="AA44" s="506" t="e">
        <f>IF(A53=1,ROUND(B44+H44-N44-T44,1),0)</f>
        <v>#N/A</v>
      </c>
      <c r="AB44" s="506"/>
      <c r="AC44" s="506"/>
      <c r="AD44" s="506"/>
      <c r="AE44" s="506"/>
      <c r="AF44" s="506"/>
      <c r="AG44" s="506"/>
      <c r="AH44" s="46" t="s">
        <v>32</v>
      </c>
      <c r="AI44" s="46"/>
      <c r="AJ44" s="56"/>
      <c r="AK44" s="47"/>
      <c r="AL44" s="60"/>
      <c r="AM44" s="56" t="s">
        <v>298</v>
      </c>
      <c r="AN44" s="56"/>
      <c r="AO44" s="56"/>
      <c r="AP44" s="40"/>
      <c r="AQ44" s="56"/>
      <c r="AR44" s="40"/>
      <c r="AS44" s="40"/>
      <c r="AT44" s="40"/>
      <c r="AU44" s="40"/>
      <c r="AV44" s="40"/>
      <c r="AW44" s="40"/>
      <c r="AX44" s="49"/>
      <c r="AY44" s="60"/>
      <c r="AZ44" s="48"/>
      <c r="BA44" s="48"/>
      <c r="BB44" s="48"/>
      <c r="BC44" s="48"/>
      <c r="BD44" s="285"/>
      <c r="BE44" s="283">
        <v>19.5</v>
      </c>
      <c r="BF44" s="283">
        <v>46.3</v>
      </c>
      <c r="BG44" s="293">
        <v>0.13</v>
      </c>
      <c r="BH44" s="286">
        <v>4.2</v>
      </c>
      <c r="BI44" s="48"/>
      <c r="BJ44" s="91"/>
      <c r="BK44" s="91"/>
      <c r="BL44" s="91"/>
      <c r="BM44" s="91"/>
      <c r="BN44" s="91"/>
      <c r="BO44" s="91"/>
      <c r="BP44" s="91"/>
    </row>
    <row r="45" spans="1:68" ht="16.5" customHeight="1" x14ac:dyDescent="0.15">
      <c r="A45" s="24"/>
      <c r="B45" s="497" t="s">
        <v>293</v>
      </c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497"/>
      <c r="AO45" s="497"/>
      <c r="AP45" s="497"/>
      <c r="AQ45" s="497"/>
      <c r="AR45" s="497"/>
      <c r="AS45" s="497"/>
      <c r="AT45" s="497"/>
      <c r="AU45" s="497"/>
      <c r="AV45" s="497"/>
      <c r="AW45" s="497"/>
      <c r="AX45" s="7"/>
      <c r="AY45" s="319"/>
      <c r="AZ45" s="3"/>
      <c r="BA45" s="3"/>
      <c r="BB45" s="3"/>
      <c r="BC45" s="3"/>
      <c r="BD45" s="284"/>
      <c r="BE45" s="283">
        <v>20</v>
      </c>
      <c r="BF45" s="283">
        <v>46.2</v>
      </c>
      <c r="BG45" s="293">
        <v>0.12</v>
      </c>
      <c r="BH45" s="283">
        <v>4.3</v>
      </c>
      <c r="BI45" s="3"/>
      <c r="BJ45" s="87"/>
      <c r="BK45" s="93"/>
      <c r="BL45" s="93"/>
      <c r="BM45" s="93"/>
      <c r="BN45" s="93"/>
      <c r="BO45" s="93"/>
      <c r="BP45" s="93"/>
    </row>
    <row r="46" spans="1:68" ht="13.5" customHeight="1" x14ac:dyDescent="0.15">
      <c r="A46" s="24"/>
      <c r="B46" s="498"/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8"/>
      <c r="AK46" s="498"/>
      <c r="AL46" s="498"/>
      <c r="AM46" s="498"/>
      <c r="AN46" s="498"/>
      <c r="AO46" s="498"/>
      <c r="AP46" s="498"/>
      <c r="AQ46" s="498"/>
      <c r="AR46" s="498"/>
      <c r="AS46" s="498"/>
      <c r="AT46" s="498"/>
      <c r="AU46" s="498"/>
      <c r="AV46" s="498"/>
      <c r="AW46" s="498"/>
      <c r="AX46" s="7"/>
      <c r="AY46" s="319"/>
      <c r="AZ46" s="3"/>
      <c r="BA46" s="3"/>
      <c r="BB46" s="3"/>
      <c r="BC46" s="3"/>
      <c r="BD46" s="284"/>
      <c r="BE46" s="283">
        <v>20.5</v>
      </c>
      <c r="BF46" s="283">
        <v>46.1</v>
      </c>
      <c r="BG46" s="293">
        <v>0.11</v>
      </c>
      <c r="BH46" s="283">
        <v>4.4000000000000004</v>
      </c>
      <c r="BI46" s="3"/>
      <c r="BJ46" s="87"/>
      <c r="BK46" s="87"/>
      <c r="BL46" s="87"/>
      <c r="BM46" s="87"/>
      <c r="BN46" s="87"/>
      <c r="BO46" s="87"/>
      <c r="BP46" s="87"/>
    </row>
    <row r="47" spans="1:68" ht="14.25" customHeight="1" x14ac:dyDescent="0.15">
      <c r="A47" s="24"/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8"/>
      <c r="AJ47" s="498"/>
      <c r="AK47" s="498"/>
      <c r="AL47" s="498"/>
      <c r="AM47" s="498"/>
      <c r="AN47" s="498"/>
      <c r="AO47" s="498"/>
      <c r="AP47" s="498"/>
      <c r="AQ47" s="498"/>
      <c r="AR47" s="498"/>
      <c r="AS47" s="498"/>
      <c r="AT47" s="498"/>
      <c r="AU47" s="498"/>
      <c r="AV47" s="498"/>
      <c r="AW47" s="498"/>
      <c r="AX47" s="7"/>
      <c r="AY47" s="319"/>
      <c r="AZ47" s="3"/>
      <c r="BA47" s="3"/>
      <c r="BB47" s="3"/>
      <c r="BC47" s="3"/>
      <c r="BD47" s="284"/>
      <c r="BE47" s="283">
        <v>21</v>
      </c>
      <c r="BF47" s="283">
        <v>46</v>
      </c>
      <c r="BG47" s="293">
        <v>0.1</v>
      </c>
      <c r="BH47" s="283">
        <v>4.5</v>
      </c>
      <c r="BI47" s="3"/>
      <c r="BJ47" s="87"/>
      <c r="BK47" s="87"/>
      <c r="BL47" s="87"/>
      <c r="BM47" s="87"/>
      <c r="BN47" s="87"/>
      <c r="BO47" s="87"/>
      <c r="BP47" s="87"/>
    </row>
    <row r="48" spans="1:68" ht="18" customHeight="1" x14ac:dyDescent="0.15">
      <c r="A48" s="24"/>
      <c r="B48" s="499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7"/>
      <c r="AY48" s="319"/>
      <c r="AZ48" s="3"/>
      <c r="BA48" s="3"/>
      <c r="BB48" s="3"/>
      <c r="BC48" s="3"/>
      <c r="BD48" s="284"/>
      <c r="BE48" s="283">
        <v>21.5</v>
      </c>
      <c r="BF48" s="283">
        <v>45.9</v>
      </c>
      <c r="BG48" s="293">
        <v>0.09</v>
      </c>
      <c r="BH48" s="283">
        <v>4.5999999999999996</v>
      </c>
      <c r="BI48" s="3"/>
    </row>
    <row r="49" spans="1:61" ht="3" customHeight="1" x14ac:dyDescent="0.15">
      <c r="A49" s="24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313"/>
      <c r="Y49" s="313"/>
      <c r="Z49" s="313"/>
      <c r="AA49" s="313"/>
      <c r="AB49" s="313"/>
      <c r="AC49" s="313"/>
      <c r="AD49" s="313"/>
      <c r="AE49" s="313"/>
      <c r="AF49" s="317"/>
      <c r="AG49" s="317"/>
      <c r="AH49" s="313"/>
      <c r="AI49" s="313"/>
      <c r="AJ49" s="313"/>
      <c r="AK49" s="317"/>
      <c r="AL49" s="317"/>
      <c r="AM49" s="313"/>
      <c r="AN49" s="313"/>
      <c r="AO49" s="313"/>
      <c r="AP49" s="317"/>
      <c r="AQ49" s="317"/>
      <c r="AR49" s="99"/>
      <c r="AS49" s="100"/>
      <c r="AT49" s="3"/>
      <c r="AU49" s="3"/>
      <c r="AV49" s="3"/>
      <c r="AW49" s="236"/>
      <c r="AX49" s="7"/>
      <c r="AY49" s="319"/>
      <c r="AZ49" s="3"/>
      <c r="BA49" s="3"/>
      <c r="BB49" s="3"/>
      <c r="BC49" s="3"/>
      <c r="BD49" s="284"/>
      <c r="BE49" s="283"/>
      <c r="BF49" s="283"/>
      <c r="BG49" s="293">
        <v>0.08</v>
      </c>
      <c r="BH49" s="283"/>
      <c r="BI49" s="3"/>
    </row>
    <row r="50" spans="1:61" ht="15" customHeight="1" x14ac:dyDescent="0.15">
      <c r="A50" s="24"/>
      <c r="B50" s="319"/>
      <c r="C50" s="319"/>
      <c r="D50" s="319"/>
      <c r="E50" s="319"/>
      <c r="F50" s="319"/>
      <c r="G50" s="3"/>
      <c r="H50" s="3"/>
      <c r="I50" s="3"/>
      <c r="J50" s="3"/>
      <c r="K50" s="3"/>
      <c r="L50" s="319"/>
      <c r="M50" s="319"/>
      <c r="N50" s="319"/>
      <c r="O50" s="319"/>
      <c r="P50" s="3"/>
      <c r="Q50" s="3"/>
      <c r="R50" s="314"/>
      <c r="S50" s="314"/>
      <c r="T50" s="314"/>
      <c r="U50" s="314"/>
      <c r="V50" s="314"/>
      <c r="W50" s="3"/>
      <c r="X50" s="493"/>
      <c r="Y50" s="493"/>
      <c r="Z50" s="493"/>
      <c r="AA50" s="493"/>
      <c r="AB50" s="493"/>
      <c r="AC50" s="494"/>
      <c r="AD50" s="494"/>
      <c r="AE50" s="494"/>
      <c r="AF50" s="492" t="s">
        <v>96</v>
      </c>
      <c r="AG50" s="492"/>
      <c r="AH50" s="494"/>
      <c r="AI50" s="494"/>
      <c r="AJ50" s="494"/>
      <c r="AK50" s="492" t="s">
        <v>97</v>
      </c>
      <c r="AL50" s="492"/>
      <c r="AM50" s="494"/>
      <c r="AN50" s="494"/>
      <c r="AO50" s="494"/>
      <c r="AP50" s="492" t="s">
        <v>98</v>
      </c>
      <c r="AQ50" s="492"/>
      <c r="AR50" s="316"/>
      <c r="AS50" s="316"/>
      <c r="AT50" s="316"/>
      <c r="AU50" s="316"/>
      <c r="AV50" s="316"/>
      <c r="AW50" s="316"/>
      <c r="AX50" s="7"/>
      <c r="AY50" s="319"/>
      <c r="AZ50" s="3"/>
      <c r="BA50" s="3"/>
      <c r="BB50" s="3"/>
      <c r="BC50" s="3"/>
      <c r="BD50" s="284"/>
      <c r="BE50" s="283">
        <v>22</v>
      </c>
      <c r="BF50" s="283">
        <v>45.8</v>
      </c>
      <c r="BG50" s="293">
        <v>7.0000000000000007E-2</v>
      </c>
      <c r="BH50" s="283">
        <v>4.7</v>
      </c>
      <c r="BI50" s="3"/>
    </row>
    <row r="51" spans="1:61" ht="5.25" customHeight="1" x14ac:dyDescent="0.15">
      <c r="A51" s="24"/>
      <c r="B51" s="319"/>
      <c r="C51" s="319"/>
      <c r="D51" s="319"/>
      <c r="E51" s="319"/>
      <c r="F51" s="319"/>
      <c r="G51" s="3"/>
      <c r="H51" s="3"/>
      <c r="I51" s="3"/>
      <c r="J51" s="3"/>
      <c r="K51" s="3"/>
      <c r="L51" s="319"/>
      <c r="M51" s="319"/>
      <c r="N51" s="319"/>
      <c r="O51" s="319"/>
      <c r="P51" s="3"/>
      <c r="Q51" s="3"/>
      <c r="R51" s="356" t="s">
        <v>292</v>
      </c>
      <c r="S51" s="495"/>
      <c r="T51" s="495"/>
      <c r="U51" s="495"/>
      <c r="V51" s="495"/>
      <c r="W51" s="3"/>
      <c r="X51" s="60"/>
      <c r="Y51" s="3"/>
      <c r="Z51" s="3"/>
      <c r="AA51" s="3"/>
      <c r="AB51" s="319"/>
      <c r="AC51" s="319"/>
      <c r="AD51" s="319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3"/>
      <c r="AW51" s="319"/>
      <c r="AX51" s="7"/>
      <c r="AY51" s="319"/>
      <c r="AZ51" s="3"/>
      <c r="BA51" s="3"/>
      <c r="BB51" s="3"/>
      <c r="BC51" s="3"/>
      <c r="BD51" s="284"/>
      <c r="BE51" s="283">
        <v>22.5</v>
      </c>
      <c r="BF51" s="283">
        <v>45.7</v>
      </c>
      <c r="BG51" s="293">
        <v>0.06</v>
      </c>
      <c r="BH51" s="283">
        <v>4.8</v>
      </c>
      <c r="BI51" s="3"/>
    </row>
    <row r="52" spans="1:61" ht="19.5" customHeight="1" thickBot="1" x14ac:dyDescent="0.2">
      <c r="A52" s="25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96"/>
      <c r="S52" s="496"/>
      <c r="T52" s="496"/>
      <c r="U52" s="496"/>
      <c r="V52" s="496"/>
      <c r="W52" s="59"/>
      <c r="X52" s="98" t="s">
        <v>95</v>
      </c>
      <c r="Y52" s="59"/>
      <c r="Z52" s="59"/>
      <c r="AA52" s="59"/>
      <c r="AB52" s="507"/>
      <c r="AC52" s="508"/>
      <c r="AD52" s="508"/>
      <c r="AE52" s="508"/>
      <c r="AF52" s="508"/>
      <c r="AG52" s="508"/>
      <c r="AH52" s="508"/>
      <c r="AI52" s="508"/>
      <c r="AJ52" s="508"/>
      <c r="AK52" s="508"/>
      <c r="AL52" s="508"/>
      <c r="AM52" s="508"/>
      <c r="AN52" s="508"/>
      <c r="AO52" s="508"/>
      <c r="AP52" s="101"/>
      <c r="AQ52" s="98"/>
      <c r="AR52" s="98"/>
      <c r="AS52" s="98"/>
      <c r="AT52" s="50"/>
      <c r="AU52" s="98"/>
      <c r="AV52" s="59"/>
      <c r="AW52" s="59"/>
      <c r="AX52" s="26"/>
      <c r="AY52" s="319"/>
      <c r="AZ52" s="3"/>
      <c r="BA52" s="3"/>
      <c r="BB52" s="3"/>
      <c r="BC52" s="3"/>
      <c r="BD52" s="284"/>
      <c r="BE52" s="283">
        <v>23</v>
      </c>
      <c r="BF52" s="283">
        <v>45.6</v>
      </c>
      <c r="BG52" s="293">
        <v>0.05</v>
      </c>
      <c r="BH52" s="283">
        <v>4.9000000000000004</v>
      </c>
      <c r="BI52" s="3"/>
    </row>
    <row r="53" spans="1:61" ht="16.5" customHeight="1" x14ac:dyDescent="0.15">
      <c r="A53" s="1" t="e">
        <f>IF(AND(AG2&gt;0,AL17&gt;0,AK22&gt;0),1,0)</f>
        <v>#N/A</v>
      </c>
      <c r="AY53" s="87"/>
      <c r="BD53" s="284"/>
      <c r="BE53" s="283">
        <v>23.5</v>
      </c>
      <c r="BF53" s="283">
        <v>45.5</v>
      </c>
      <c r="BG53" s="293">
        <v>0.04</v>
      </c>
      <c r="BH53" s="283">
        <v>5</v>
      </c>
      <c r="BI53" s="3"/>
    </row>
    <row r="54" spans="1:61" ht="16.5" customHeight="1" x14ac:dyDescent="0.15">
      <c r="AY54" s="87"/>
      <c r="BD54" s="284"/>
      <c r="BE54" s="283">
        <v>24</v>
      </c>
      <c r="BF54" s="283">
        <v>45.4</v>
      </c>
      <c r="BG54" s="293">
        <v>0.03</v>
      </c>
      <c r="BH54" s="283">
        <v>5.0999999999999996</v>
      </c>
      <c r="BI54" s="3"/>
    </row>
    <row r="55" spans="1:61" ht="14.25" x14ac:dyDescent="0.15">
      <c r="A55" s="67"/>
      <c r="AC55" s="1" t="s">
        <v>289</v>
      </c>
      <c r="AY55" s="87"/>
      <c r="BD55" s="284"/>
      <c r="BE55" s="283">
        <v>24.5</v>
      </c>
      <c r="BF55" s="283">
        <v>45.3</v>
      </c>
      <c r="BG55" s="293">
        <v>0.02</v>
      </c>
      <c r="BH55" s="283">
        <v>5.2</v>
      </c>
      <c r="BI55" s="3"/>
    </row>
    <row r="56" spans="1:61" ht="14.25" x14ac:dyDescent="0.15">
      <c r="A56" s="67"/>
      <c r="AY56" s="87"/>
      <c r="BD56" s="284"/>
      <c r="BE56" s="283">
        <v>25</v>
      </c>
      <c r="BF56" s="283">
        <v>45.199999999999996</v>
      </c>
      <c r="BG56" s="293">
        <v>0.01</v>
      </c>
      <c r="BH56" s="283">
        <v>5.3</v>
      </c>
      <c r="BI56" s="3"/>
    </row>
    <row r="57" spans="1:61" x14ac:dyDescent="0.15">
      <c r="AV57" s="356"/>
      <c r="AW57" s="356"/>
      <c r="AY57" s="87"/>
      <c r="BD57" s="284"/>
      <c r="BE57" s="283">
        <v>25.5</v>
      </c>
      <c r="BF57" s="283">
        <v>45.099999999999994</v>
      </c>
      <c r="BG57" s="283">
        <v>0.1</v>
      </c>
      <c r="BH57" s="283">
        <v>5.4</v>
      </c>
      <c r="BI57" s="3"/>
    </row>
    <row r="58" spans="1:61" x14ac:dyDescent="0.15">
      <c r="AV58" s="356"/>
      <c r="AW58" s="356"/>
      <c r="AY58" s="87"/>
      <c r="BD58" s="284"/>
      <c r="BE58" s="283">
        <v>26</v>
      </c>
      <c r="BF58" s="283">
        <v>44.999999999999993</v>
      </c>
      <c r="BG58" s="283"/>
      <c r="BH58" s="283">
        <v>5.5</v>
      </c>
      <c r="BI58" s="3"/>
    </row>
    <row r="59" spans="1:61" x14ac:dyDescent="0.15">
      <c r="AV59" s="356"/>
      <c r="AW59" s="356"/>
      <c r="AY59" s="87"/>
      <c r="BD59" s="284"/>
      <c r="BE59" s="283">
        <v>26.5</v>
      </c>
      <c r="BF59" s="283">
        <v>44.899999999999991</v>
      </c>
      <c r="BG59" s="283"/>
      <c r="BH59" s="283">
        <v>5.6</v>
      </c>
      <c r="BI59" s="3"/>
    </row>
    <row r="60" spans="1:61" x14ac:dyDescent="0.15">
      <c r="AY60" s="87"/>
      <c r="BD60" s="284"/>
      <c r="BE60" s="283">
        <v>27</v>
      </c>
      <c r="BF60" s="283">
        <v>44.79999999999999</v>
      </c>
      <c r="BG60" s="283"/>
      <c r="BH60" s="283">
        <v>5.7</v>
      </c>
      <c r="BI60" s="3"/>
    </row>
    <row r="61" spans="1:61" x14ac:dyDescent="0.15">
      <c r="AY61" s="87"/>
      <c r="BD61" s="284"/>
      <c r="BE61" s="283">
        <v>27.5</v>
      </c>
      <c r="BF61" s="283">
        <v>44.699999999999989</v>
      </c>
      <c r="BG61" s="283"/>
      <c r="BH61" s="283">
        <v>5.8</v>
      </c>
      <c r="BI61" s="3"/>
    </row>
    <row r="62" spans="1:61" x14ac:dyDescent="0.15">
      <c r="AY62" s="87"/>
      <c r="BD62" s="284"/>
      <c r="BE62" s="283">
        <v>28</v>
      </c>
      <c r="BF62" s="283">
        <v>44.599999999999987</v>
      </c>
      <c r="BG62" s="283"/>
      <c r="BH62" s="283">
        <v>5.9</v>
      </c>
      <c r="BI62" s="3"/>
    </row>
    <row r="63" spans="1:61" x14ac:dyDescent="0.15">
      <c r="AY63" s="87"/>
      <c r="BD63" s="284"/>
      <c r="BE63" s="283">
        <v>28.5</v>
      </c>
      <c r="BF63" s="283">
        <v>44.499999999999986</v>
      </c>
      <c r="BG63" s="283"/>
      <c r="BH63" s="283">
        <v>6</v>
      </c>
      <c r="BI63" s="3"/>
    </row>
    <row r="64" spans="1:61" x14ac:dyDescent="0.15">
      <c r="AY64" s="87"/>
      <c r="BD64" s="284"/>
      <c r="BE64" s="283">
        <v>29</v>
      </c>
      <c r="BF64" s="283">
        <v>44.399999999999984</v>
      </c>
      <c r="BG64" s="283"/>
      <c r="BH64" s="283">
        <v>6.1</v>
      </c>
      <c r="BI64" s="3"/>
    </row>
    <row r="65" spans="51:61" x14ac:dyDescent="0.15">
      <c r="AY65" s="87"/>
      <c r="BD65" s="284"/>
      <c r="BE65" s="283">
        <v>29.5</v>
      </c>
      <c r="BF65" s="283">
        <v>44.299999999999983</v>
      </c>
      <c r="BG65" s="283"/>
      <c r="BH65" s="283">
        <v>6.2</v>
      </c>
      <c r="BI65" s="3"/>
    </row>
    <row r="66" spans="51:61" x14ac:dyDescent="0.15">
      <c r="AY66" s="87"/>
      <c r="BD66" s="284"/>
      <c r="BE66" s="283">
        <v>30</v>
      </c>
      <c r="BF66" s="283">
        <v>44.199999999999982</v>
      </c>
      <c r="BG66" s="283"/>
      <c r="BH66" s="283">
        <v>6.3</v>
      </c>
      <c r="BI66" s="3"/>
    </row>
    <row r="67" spans="51:61" x14ac:dyDescent="0.15">
      <c r="AY67" s="87"/>
      <c r="BD67" s="284"/>
      <c r="BE67" s="283">
        <v>30.5</v>
      </c>
      <c r="BF67" s="283">
        <v>44.09999999999998</v>
      </c>
      <c r="BG67" s="283"/>
      <c r="BH67" s="283">
        <v>6.4</v>
      </c>
      <c r="BI67" s="3"/>
    </row>
    <row r="68" spans="51:61" x14ac:dyDescent="0.15">
      <c r="AY68" s="87"/>
      <c r="BD68" s="284"/>
      <c r="BE68" s="283">
        <v>31</v>
      </c>
      <c r="BF68" s="283">
        <v>43.999999999999979</v>
      </c>
      <c r="BG68" s="283"/>
      <c r="BH68" s="283">
        <v>6.5</v>
      </c>
      <c r="BI68" s="3"/>
    </row>
    <row r="69" spans="51:61" x14ac:dyDescent="0.15">
      <c r="AY69" s="87"/>
      <c r="BD69" s="284"/>
      <c r="BE69" s="283">
        <v>31.5</v>
      </c>
      <c r="BF69" s="283">
        <v>43.899999999999977</v>
      </c>
      <c r="BG69" s="283"/>
      <c r="BH69" s="283">
        <v>6.6</v>
      </c>
      <c r="BI69" s="3"/>
    </row>
    <row r="70" spans="51:61" x14ac:dyDescent="0.15">
      <c r="AY70" s="87"/>
      <c r="BD70" s="284"/>
      <c r="BE70" s="283">
        <v>32</v>
      </c>
      <c r="BF70" s="283">
        <v>43.799999999999976</v>
      </c>
      <c r="BG70" s="283"/>
      <c r="BH70" s="283">
        <v>6.7</v>
      </c>
      <c r="BI70" s="3"/>
    </row>
    <row r="71" spans="51:61" x14ac:dyDescent="0.15">
      <c r="AY71" s="87"/>
      <c r="BD71" s="284"/>
      <c r="BE71" s="283">
        <v>32.5</v>
      </c>
      <c r="BF71" s="283">
        <v>43.699999999999974</v>
      </c>
      <c r="BG71" s="283"/>
      <c r="BH71" s="283">
        <v>6.8</v>
      </c>
      <c r="BI71" s="3"/>
    </row>
    <row r="72" spans="51:61" x14ac:dyDescent="0.15">
      <c r="AY72" s="87"/>
      <c r="BD72" s="284"/>
      <c r="BE72" s="283">
        <v>33</v>
      </c>
      <c r="BF72" s="283">
        <v>43.599999999999973</v>
      </c>
      <c r="BG72" s="283"/>
      <c r="BH72" s="283">
        <v>6.9</v>
      </c>
      <c r="BI72" s="3"/>
    </row>
    <row r="73" spans="51:61" x14ac:dyDescent="0.15">
      <c r="AY73" s="87"/>
      <c r="BD73" s="284"/>
      <c r="BE73" s="283">
        <v>33.5</v>
      </c>
      <c r="BF73" s="283">
        <v>43.499999999999972</v>
      </c>
      <c r="BG73" s="283"/>
      <c r="BH73" s="283">
        <v>7</v>
      </c>
      <c r="BI73" s="3"/>
    </row>
    <row r="74" spans="51:61" x14ac:dyDescent="0.15">
      <c r="AY74" s="87"/>
      <c r="BD74" s="284"/>
      <c r="BE74" s="283">
        <v>34</v>
      </c>
      <c r="BF74" s="283">
        <v>43.39999999999997</v>
      </c>
      <c r="BG74" s="283"/>
      <c r="BH74" s="283">
        <v>7.1</v>
      </c>
      <c r="BI74" s="3"/>
    </row>
    <row r="75" spans="51:61" x14ac:dyDescent="0.15">
      <c r="AY75" s="87"/>
      <c r="BD75" s="284"/>
      <c r="BE75" s="283">
        <v>34.5</v>
      </c>
      <c r="BF75" s="283">
        <v>43.299999999999969</v>
      </c>
      <c r="BG75" s="283"/>
      <c r="BH75" s="283">
        <v>7.2</v>
      </c>
      <c r="BI75" s="3"/>
    </row>
    <row r="76" spans="51:61" x14ac:dyDescent="0.15">
      <c r="AY76" s="87"/>
      <c r="BD76" s="284"/>
      <c r="BE76" s="283">
        <v>35</v>
      </c>
      <c r="BF76" s="283">
        <v>43.199999999999967</v>
      </c>
      <c r="BG76" s="283"/>
      <c r="BH76" s="283">
        <v>7.3</v>
      </c>
      <c r="BI76" s="3"/>
    </row>
    <row r="77" spans="51:61" x14ac:dyDescent="0.15">
      <c r="AY77" s="87"/>
      <c r="BD77" s="284"/>
      <c r="BE77" s="283">
        <v>35.5</v>
      </c>
      <c r="BF77" s="283">
        <v>43.099999999999966</v>
      </c>
      <c r="BG77" s="283"/>
      <c r="BH77" s="283">
        <v>7.4</v>
      </c>
      <c r="BI77" s="3"/>
    </row>
    <row r="78" spans="51:61" x14ac:dyDescent="0.15">
      <c r="AY78" s="87"/>
      <c r="BD78" s="284"/>
      <c r="BE78" s="283">
        <v>36</v>
      </c>
      <c r="BF78" s="283">
        <v>42.999999999999964</v>
      </c>
      <c r="BG78" s="283"/>
      <c r="BH78" s="283">
        <v>7.5</v>
      </c>
      <c r="BI78" s="3"/>
    </row>
    <row r="79" spans="51:61" x14ac:dyDescent="0.15">
      <c r="AY79" s="87"/>
      <c r="BD79" s="284"/>
      <c r="BE79" s="283">
        <v>36.5</v>
      </c>
      <c r="BF79" s="283">
        <v>42.899999999999963</v>
      </c>
      <c r="BG79" s="283"/>
      <c r="BH79" s="283">
        <v>7.6</v>
      </c>
      <c r="BI79" s="3"/>
    </row>
    <row r="80" spans="51:61" x14ac:dyDescent="0.15">
      <c r="AY80" s="87"/>
      <c r="BD80" s="284"/>
      <c r="BE80" s="283">
        <v>37</v>
      </c>
      <c r="BF80" s="283">
        <v>42.799999999999962</v>
      </c>
      <c r="BG80" s="283"/>
      <c r="BH80" s="283">
        <v>7.7</v>
      </c>
      <c r="BI80" s="3"/>
    </row>
    <row r="81" spans="51:61" x14ac:dyDescent="0.15">
      <c r="AY81" s="87"/>
      <c r="BD81" s="284"/>
      <c r="BE81" s="283">
        <v>37.5</v>
      </c>
      <c r="BF81" s="283">
        <v>42.69999999999996</v>
      </c>
      <c r="BG81" s="283"/>
      <c r="BH81" s="283">
        <v>7.8</v>
      </c>
      <c r="BI81" s="3"/>
    </row>
    <row r="82" spans="51:61" x14ac:dyDescent="0.15">
      <c r="AY82" s="87"/>
      <c r="BD82" s="284"/>
      <c r="BE82" s="283">
        <v>38</v>
      </c>
      <c r="BF82" s="283">
        <v>42.599999999999959</v>
      </c>
      <c r="BG82" s="283"/>
      <c r="BH82" s="283">
        <v>7.9</v>
      </c>
      <c r="BI82" s="3"/>
    </row>
    <row r="83" spans="51:61" x14ac:dyDescent="0.15">
      <c r="AY83" s="87"/>
      <c r="BD83" s="284"/>
      <c r="BE83" s="283">
        <v>38.5</v>
      </c>
      <c r="BF83" s="283">
        <v>42.499999999999957</v>
      </c>
      <c r="BG83" s="283"/>
      <c r="BH83" s="283">
        <v>8</v>
      </c>
      <c r="BI83" s="3"/>
    </row>
    <row r="84" spans="51:61" x14ac:dyDescent="0.15">
      <c r="AY84" s="87"/>
      <c r="BD84" s="284"/>
      <c r="BE84" s="283">
        <v>39</v>
      </c>
      <c r="BF84" s="283">
        <v>42.399999999999956</v>
      </c>
      <c r="BG84" s="283"/>
      <c r="BH84" s="283">
        <v>8.1</v>
      </c>
      <c r="BI84" s="3"/>
    </row>
    <row r="85" spans="51:61" x14ac:dyDescent="0.15">
      <c r="AY85" s="87"/>
      <c r="BD85" s="284"/>
      <c r="BE85" s="283">
        <v>39.5</v>
      </c>
      <c r="BF85" s="283">
        <v>42.299999999999955</v>
      </c>
      <c r="BG85" s="283"/>
      <c r="BH85" s="283">
        <v>8.1999999999999993</v>
      </c>
      <c r="BI85" s="3"/>
    </row>
    <row r="86" spans="51:61" x14ac:dyDescent="0.15">
      <c r="AY86" s="87"/>
      <c r="BD86" s="284"/>
      <c r="BE86" s="283">
        <v>40</v>
      </c>
      <c r="BF86" s="283">
        <v>42.199999999999953</v>
      </c>
      <c r="BG86" s="283"/>
      <c r="BH86" s="283">
        <v>8.3000000000000007</v>
      </c>
      <c r="BI86" s="3"/>
    </row>
    <row r="87" spans="51:61" x14ac:dyDescent="0.15">
      <c r="AY87" s="87"/>
      <c r="BD87" s="284"/>
      <c r="BE87" s="283">
        <v>40.5</v>
      </c>
      <c r="BF87" s="283">
        <v>42.099999999999952</v>
      </c>
      <c r="BG87" s="283"/>
      <c r="BH87" s="283">
        <v>8.4</v>
      </c>
      <c r="BI87" s="3"/>
    </row>
    <row r="88" spans="51:61" x14ac:dyDescent="0.15">
      <c r="AY88" s="87"/>
      <c r="BC88" s="83"/>
      <c r="BD88" s="284"/>
      <c r="BE88" s="283">
        <v>41</v>
      </c>
      <c r="BF88" s="283">
        <v>41.99999999999995</v>
      </c>
      <c r="BG88" s="283"/>
      <c r="BH88" s="283">
        <v>8.5</v>
      </c>
      <c r="BI88" s="3"/>
    </row>
    <row r="89" spans="51:61" x14ac:dyDescent="0.15">
      <c r="AY89" s="87"/>
      <c r="BC89" s="83"/>
      <c r="BD89" s="284"/>
      <c r="BE89" s="283">
        <v>41.5</v>
      </c>
      <c r="BF89" s="283">
        <v>41.9</v>
      </c>
      <c r="BG89" s="283"/>
      <c r="BH89" s="283">
        <v>8.6</v>
      </c>
      <c r="BI89" s="3"/>
    </row>
    <row r="90" spans="51:61" x14ac:dyDescent="0.15">
      <c r="AY90" s="87"/>
      <c r="BC90" s="83"/>
      <c r="BD90" s="284"/>
      <c r="BE90" s="283">
        <v>42</v>
      </c>
      <c r="BF90" s="283">
        <v>41.8</v>
      </c>
      <c r="BG90" s="283"/>
      <c r="BH90" s="283">
        <v>8.6999999999999993</v>
      </c>
      <c r="BI90" s="3"/>
    </row>
    <row r="91" spans="51:61" x14ac:dyDescent="0.15">
      <c r="AY91" s="87"/>
      <c r="BC91" s="83"/>
      <c r="BD91" s="284"/>
      <c r="BE91" s="283">
        <v>42.5</v>
      </c>
      <c r="BF91" s="283">
        <v>41.699999999999996</v>
      </c>
      <c r="BG91" s="283"/>
      <c r="BH91" s="283">
        <v>8.8000000000000007</v>
      </c>
      <c r="BI91" s="3"/>
    </row>
    <row r="92" spans="51:61" x14ac:dyDescent="0.15">
      <c r="AY92" s="87"/>
      <c r="BC92" s="83"/>
      <c r="BD92" s="284"/>
      <c r="BE92" s="283">
        <v>43</v>
      </c>
      <c r="BF92" s="283">
        <v>41.599999999999994</v>
      </c>
      <c r="BG92" s="283"/>
      <c r="BH92" s="283">
        <v>8.9</v>
      </c>
      <c r="BI92" s="3"/>
    </row>
    <row r="93" spans="51:61" x14ac:dyDescent="0.15">
      <c r="AY93" s="87"/>
      <c r="BC93" s="83"/>
      <c r="BD93" s="284"/>
      <c r="BE93" s="283">
        <v>43.5</v>
      </c>
      <c r="BF93" s="283">
        <v>41.499999999999993</v>
      </c>
      <c r="BG93" s="283"/>
      <c r="BH93" s="283">
        <v>9</v>
      </c>
      <c r="BI93" s="3"/>
    </row>
    <row r="94" spans="51:61" x14ac:dyDescent="0.15">
      <c r="AY94" s="87"/>
      <c r="BC94" s="83"/>
      <c r="BD94" s="284"/>
      <c r="BE94" s="283">
        <v>44</v>
      </c>
      <c r="BF94" s="283">
        <v>41.399999999999991</v>
      </c>
      <c r="BG94" s="283"/>
      <c r="BH94" s="283">
        <v>9.1</v>
      </c>
      <c r="BI94" s="3"/>
    </row>
    <row r="95" spans="51:61" x14ac:dyDescent="0.15">
      <c r="AY95" s="87"/>
      <c r="BC95" s="83"/>
      <c r="BD95" s="284"/>
      <c r="BE95" s="283">
        <v>44.5</v>
      </c>
      <c r="BF95" s="283">
        <v>41.29999999999999</v>
      </c>
      <c r="BG95" s="283"/>
      <c r="BH95" s="283">
        <v>9.1999999999999993</v>
      </c>
      <c r="BI95" s="3"/>
    </row>
    <row r="96" spans="51:61" x14ac:dyDescent="0.15">
      <c r="AY96" s="87"/>
      <c r="BC96" s="83"/>
      <c r="BD96" s="284"/>
      <c r="BE96" s="283">
        <v>45</v>
      </c>
      <c r="BF96" s="283">
        <v>41.199999999999989</v>
      </c>
      <c r="BG96" s="283"/>
      <c r="BH96" s="283">
        <v>9.3000000000000007</v>
      </c>
      <c r="BI96" s="3"/>
    </row>
    <row r="97" spans="51:61" x14ac:dyDescent="0.15">
      <c r="AY97" s="87"/>
      <c r="BC97" s="83"/>
      <c r="BD97" s="284"/>
      <c r="BE97" s="283">
        <v>45.5</v>
      </c>
      <c r="BF97" s="283">
        <v>41.099999999999987</v>
      </c>
      <c r="BG97" s="283"/>
      <c r="BH97" s="283">
        <v>9.4</v>
      </c>
      <c r="BI97" s="3"/>
    </row>
    <row r="98" spans="51:61" x14ac:dyDescent="0.15">
      <c r="AY98" s="87"/>
      <c r="BC98" s="83"/>
      <c r="BD98" s="284"/>
      <c r="BE98" s="283">
        <v>46</v>
      </c>
      <c r="BF98" s="283">
        <v>40.999999999999986</v>
      </c>
      <c r="BG98" s="283"/>
      <c r="BH98" s="283">
        <v>9.5</v>
      </c>
      <c r="BI98" s="3"/>
    </row>
    <row r="99" spans="51:61" x14ac:dyDescent="0.15">
      <c r="AY99" s="87"/>
      <c r="BC99" s="83"/>
      <c r="BD99" s="284"/>
      <c r="BE99" s="283">
        <v>46.5</v>
      </c>
      <c r="BF99" s="283">
        <v>40.899999999999984</v>
      </c>
      <c r="BG99" s="283"/>
      <c r="BH99" s="283">
        <v>9.6</v>
      </c>
      <c r="BI99" s="3"/>
    </row>
    <row r="100" spans="51:61" x14ac:dyDescent="0.15">
      <c r="AY100" s="87"/>
      <c r="BC100" s="83"/>
      <c r="BD100" s="284"/>
      <c r="BE100" s="283">
        <v>47</v>
      </c>
      <c r="BF100" s="283">
        <v>40.799999999999983</v>
      </c>
      <c r="BG100" s="283"/>
      <c r="BH100" s="283">
        <v>9.6999999999999993</v>
      </c>
      <c r="BI100" s="3"/>
    </row>
    <row r="101" spans="51:61" x14ac:dyDescent="0.15">
      <c r="AY101" s="87"/>
      <c r="BC101" s="83"/>
      <c r="BD101" s="284"/>
      <c r="BE101" s="283">
        <v>47.5</v>
      </c>
      <c r="BF101" s="283">
        <v>40.699999999999982</v>
      </c>
      <c r="BG101" s="283"/>
      <c r="BH101" s="283">
        <v>9.8000000000000007</v>
      </c>
      <c r="BI101" s="3"/>
    </row>
    <row r="102" spans="51:61" x14ac:dyDescent="0.15">
      <c r="AY102" s="87"/>
      <c r="BC102" s="83"/>
      <c r="BD102" s="284"/>
      <c r="BE102" s="283">
        <v>48</v>
      </c>
      <c r="BF102" s="283">
        <v>40.59999999999998</v>
      </c>
      <c r="BG102" s="283"/>
      <c r="BH102" s="283">
        <v>9.9</v>
      </c>
      <c r="BI102" s="3"/>
    </row>
    <row r="103" spans="51:61" x14ac:dyDescent="0.15">
      <c r="AY103" s="87"/>
      <c r="BC103" s="83"/>
      <c r="BD103" s="284"/>
      <c r="BE103" s="283">
        <v>48.5</v>
      </c>
      <c r="BF103" s="283">
        <v>40.499999999999979</v>
      </c>
      <c r="BG103" s="283"/>
      <c r="BH103" s="283">
        <v>10</v>
      </c>
      <c r="BI103" s="3"/>
    </row>
    <row r="104" spans="51:61" x14ac:dyDescent="0.15">
      <c r="AY104" s="87"/>
      <c r="BC104" s="83"/>
      <c r="BD104" s="284"/>
      <c r="BE104" s="283">
        <v>49</v>
      </c>
      <c r="BF104" s="283">
        <v>40.399999999999977</v>
      </c>
      <c r="BG104" s="283"/>
      <c r="BH104" s="283">
        <v>10.1</v>
      </c>
      <c r="BI104" s="3"/>
    </row>
    <row r="105" spans="51:61" x14ac:dyDescent="0.15">
      <c r="AY105" s="87"/>
      <c r="BC105" s="83"/>
      <c r="BD105" s="284"/>
      <c r="BE105" s="283">
        <v>49.5</v>
      </c>
      <c r="BF105" s="283">
        <v>40.299999999999976</v>
      </c>
      <c r="BG105" s="283"/>
      <c r="BH105" s="283">
        <v>10.199999999999999</v>
      </c>
      <c r="BI105" s="3"/>
    </row>
    <row r="106" spans="51:61" x14ac:dyDescent="0.15">
      <c r="AY106" s="87"/>
      <c r="BC106" s="83"/>
      <c r="BD106" s="284"/>
      <c r="BE106" s="283">
        <v>50</v>
      </c>
      <c r="BF106" s="283">
        <v>40.199999999999974</v>
      </c>
      <c r="BG106" s="283"/>
      <c r="BH106" s="283">
        <v>10.3</v>
      </c>
      <c r="BI106" s="3"/>
    </row>
    <row r="107" spans="51:61" x14ac:dyDescent="0.15">
      <c r="AY107" s="87"/>
      <c r="BC107" s="83"/>
      <c r="BD107" s="284"/>
      <c r="BE107" s="283">
        <v>50.5</v>
      </c>
      <c r="BF107" s="283">
        <v>40.099999999999973</v>
      </c>
      <c r="BG107" s="283"/>
      <c r="BH107" s="283">
        <v>10.4</v>
      </c>
      <c r="BI107" s="3"/>
    </row>
    <row r="108" spans="51:61" x14ac:dyDescent="0.15">
      <c r="AY108" s="87"/>
      <c r="BC108" s="83"/>
      <c r="BD108" s="284"/>
      <c r="BE108" s="283">
        <v>51</v>
      </c>
      <c r="BF108" s="283">
        <v>39.999999999999972</v>
      </c>
      <c r="BG108" s="283"/>
      <c r="BH108" s="283">
        <v>10.5</v>
      </c>
      <c r="BI108" s="3"/>
    </row>
    <row r="109" spans="51:61" x14ac:dyDescent="0.15">
      <c r="AY109" s="87"/>
      <c r="BC109" s="83"/>
      <c r="BD109" s="284"/>
      <c r="BE109" s="283">
        <v>51.5</v>
      </c>
      <c r="BF109" s="283">
        <v>39.89999999999997</v>
      </c>
      <c r="BG109" s="283"/>
      <c r="BH109" s="283">
        <v>10.6</v>
      </c>
      <c r="BI109" s="3"/>
    </row>
    <row r="110" spans="51:61" x14ac:dyDescent="0.15">
      <c r="AY110" s="87"/>
      <c r="BC110" s="83"/>
      <c r="BD110" s="284"/>
      <c r="BE110" s="283">
        <v>52</v>
      </c>
      <c r="BF110" s="283">
        <v>39.799999999999969</v>
      </c>
      <c r="BG110" s="283"/>
      <c r="BH110" s="283">
        <v>10.7</v>
      </c>
      <c r="BI110" s="3"/>
    </row>
    <row r="111" spans="51:61" x14ac:dyDescent="0.15">
      <c r="AY111" s="87"/>
      <c r="BC111" s="83"/>
      <c r="BD111" s="284"/>
      <c r="BE111" s="283">
        <v>52.5</v>
      </c>
      <c r="BF111" s="283">
        <v>39.699999999999967</v>
      </c>
      <c r="BG111" s="283"/>
      <c r="BH111" s="283">
        <v>10.8</v>
      </c>
      <c r="BI111" s="3"/>
    </row>
    <row r="112" spans="51:61" x14ac:dyDescent="0.15">
      <c r="AY112" s="87"/>
      <c r="BC112" s="83"/>
      <c r="BD112" s="284"/>
      <c r="BE112" s="283">
        <v>53</v>
      </c>
      <c r="BF112" s="283">
        <v>39.599999999999966</v>
      </c>
      <c r="BG112" s="283"/>
      <c r="BH112" s="283">
        <v>10.9</v>
      </c>
      <c r="BI112" s="3"/>
    </row>
    <row r="113" spans="51:61" x14ac:dyDescent="0.15">
      <c r="AY113" s="87"/>
      <c r="BC113" s="83"/>
      <c r="BD113" s="284"/>
      <c r="BE113" s="283">
        <v>53.5</v>
      </c>
      <c r="BF113" s="283">
        <v>39.499999999999964</v>
      </c>
      <c r="BG113" s="283"/>
      <c r="BH113" s="283">
        <v>11</v>
      </c>
      <c r="BI113" s="3"/>
    </row>
    <row r="114" spans="51:61" x14ac:dyDescent="0.15">
      <c r="AY114" s="87"/>
      <c r="BC114" s="83"/>
      <c r="BD114" s="284"/>
      <c r="BE114" s="283">
        <v>54</v>
      </c>
      <c r="BF114" s="283">
        <v>39.399999999999963</v>
      </c>
      <c r="BG114" s="283"/>
      <c r="BH114" s="283">
        <v>11.1</v>
      </c>
      <c r="BI114" s="3"/>
    </row>
    <row r="115" spans="51:61" x14ac:dyDescent="0.15">
      <c r="AY115" s="87"/>
      <c r="BC115" s="83"/>
      <c r="BD115" s="284"/>
      <c r="BE115" s="283">
        <v>54.5</v>
      </c>
      <c r="BF115" s="283">
        <v>39.299999999999962</v>
      </c>
      <c r="BG115" s="283"/>
      <c r="BH115" s="283">
        <v>11.2</v>
      </c>
      <c r="BI115" s="3"/>
    </row>
    <row r="116" spans="51:61" x14ac:dyDescent="0.15">
      <c r="AY116" s="87"/>
      <c r="BC116" s="83"/>
      <c r="BD116" s="284"/>
      <c r="BE116" s="283">
        <v>55</v>
      </c>
      <c r="BF116" s="283">
        <v>39.19999999999996</v>
      </c>
      <c r="BG116" s="283"/>
      <c r="BH116" s="283">
        <v>11.3</v>
      </c>
      <c r="BI116" s="3"/>
    </row>
    <row r="117" spans="51:61" x14ac:dyDescent="0.15">
      <c r="AY117" s="87"/>
      <c r="BC117" s="83"/>
      <c r="BD117" s="284"/>
      <c r="BE117" s="283">
        <v>55.5</v>
      </c>
      <c r="BF117" s="283">
        <v>39.099999999999959</v>
      </c>
      <c r="BG117" s="283"/>
      <c r="BH117" s="283">
        <v>11.4</v>
      </c>
      <c r="BI117" s="3"/>
    </row>
    <row r="118" spans="51:61" x14ac:dyDescent="0.15">
      <c r="AY118" s="87"/>
      <c r="BC118" s="83"/>
      <c r="BD118" s="284"/>
      <c r="BE118" s="283">
        <v>56</v>
      </c>
      <c r="BF118" s="283">
        <v>38.999999999999957</v>
      </c>
      <c r="BG118" s="283"/>
      <c r="BH118" s="283">
        <v>11.5</v>
      </c>
      <c r="BI118" s="3"/>
    </row>
    <row r="119" spans="51:61" x14ac:dyDescent="0.15">
      <c r="AY119" s="87"/>
      <c r="BD119" s="284"/>
      <c r="BE119" s="287">
        <v>56.5</v>
      </c>
      <c r="BF119" s="283">
        <v>38.899999999999956</v>
      </c>
      <c r="BG119" s="283"/>
      <c r="BH119" s="283">
        <v>11.6</v>
      </c>
      <c r="BI119" s="3"/>
    </row>
    <row r="120" spans="51:61" x14ac:dyDescent="0.15">
      <c r="AY120" s="87"/>
      <c r="BD120" s="284"/>
      <c r="BE120" s="287">
        <v>57</v>
      </c>
      <c r="BF120" s="283">
        <v>38.799999999999955</v>
      </c>
      <c r="BG120" s="283"/>
      <c r="BH120" s="283">
        <v>11.7</v>
      </c>
      <c r="BI120" s="3"/>
    </row>
    <row r="121" spans="51:61" x14ac:dyDescent="0.15">
      <c r="AY121" s="87"/>
      <c r="BD121" s="284"/>
      <c r="BE121" s="287">
        <v>57.5</v>
      </c>
      <c r="BF121" s="283">
        <v>38.699999999999953</v>
      </c>
      <c r="BG121" s="283"/>
      <c r="BH121" s="283">
        <v>11.8</v>
      </c>
      <c r="BI121" s="3"/>
    </row>
    <row r="122" spans="51:61" x14ac:dyDescent="0.15">
      <c r="AY122" s="87"/>
      <c r="BD122" s="284"/>
      <c r="BE122" s="287">
        <v>58</v>
      </c>
      <c r="BF122" s="283">
        <v>38.599999999999952</v>
      </c>
      <c r="BG122" s="283"/>
      <c r="BH122" s="283">
        <v>11.9</v>
      </c>
      <c r="BI122" s="3"/>
    </row>
    <row r="123" spans="51:61" x14ac:dyDescent="0.15">
      <c r="AY123" s="87"/>
      <c r="BD123" s="284"/>
      <c r="BE123" s="287">
        <v>58.5</v>
      </c>
      <c r="BF123" s="283">
        <v>38.49999999999995</v>
      </c>
      <c r="BG123" s="283"/>
      <c r="BH123" s="283">
        <v>12</v>
      </c>
      <c r="BI123" s="3"/>
    </row>
    <row r="124" spans="51:61" x14ac:dyDescent="0.15">
      <c r="AY124" s="87"/>
      <c r="BD124" s="284"/>
      <c r="BE124" s="287">
        <v>59</v>
      </c>
      <c r="BF124" s="283">
        <v>38.4</v>
      </c>
      <c r="BG124" s="283"/>
      <c r="BH124" s="283">
        <v>12.1</v>
      </c>
      <c r="BI124" s="3"/>
    </row>
    <row r="125" spans="51:61" x14ac:dyDescent="0.15">
      <c r="AY125" s="87"/>
      <c r="BD125" s="284"/>
      <c r="BE125" s="287">
        <v>59.5</v>
      </c>
      <c r="BF125" s="283">
        <v>38.299999999999997</v>
      </c>
      <c r="BG125" s="283"/>
      <c r="BH125" s="283">
        <v>12.2</v>
      </c>
      <c r="BI125" s="3"/>
    </row>
    <row r="126" spans="51:61" x14ac:dyDescent="0.15">
      <c r="AY126" s="87"/>
      <c r="BD126" s="284"/>
      <c r="BE126" s="287">
        <v>60</v>
      </c>
      <c r="BF126" s="283">
        <v>38.199999999999996</v>
      </c>
      <c r="BG126" s="283"/>
      <c r="BH126" s="283">
        <v>12.3</v>
      </c>
      <c r="BI126" s="3"/>
    </row>
    <row r="127" spans="51:61" x14ac:dyDescent="0.15">
      <c r="AY127" s="87"/>
      <c r="BD127" s="284"/>
      <c r="BE127" s="287">
        <v>60.5</v>
      </c>
      <c r="BF127" s="283">
        <v>38.099999999999994</v>
      </c>
      <c r="BG127" s="283"/>
      <c r="BH127" s="283">
        <v>12.4</v>
      </c>
      <c r="BI127" s="3"/>
    </row>
    <row r="128" spans="51:61" x14ac:dyDescent="0.15">
      <c r="AY128" s="87"/>
      <c r="BD128" s="284"/>
      <c r="BE128" s="287">
        <v>61</v>
      </c>
      <c r="BF128" s="283">
        <v>37.999999999999993</v>
      </c>
      <c r="BG128" s="283"/>
      <c r="BH128" s="283">
        <v>12.5</v>
      </c>
      <c r="BI128" s="3"/>
    </row>
    <row r="129" spans="51:61" x14ac:dyDescent="0.15">
      <c r="AY129" s="87"/>
      <c r="BD129" s="284"/>
      <c r="BE129" s="287">
        <v>61.5</v>
      </c>
      <c r="BF129" s="283">
        <v>37.899999999999991</v>
      </c>
      <c r="BG129" s="283"/>
      <c r="BH129" s="283">
        <v>12.6</v>
      </c>
      <c r="BI129" s="3"/>
    </row>
    <row r="130" spans="51:61" x14ac:dyDescent="0.15">
      <c r="AY130" s="87"/>
      <c r="BD130" s="284"/>
      <c r="BE130" s="287">
        <v>62</v>
      </c>
      <c r="BF130" s="283">
        <v>37.79999999999999</v>
      </c>
      <c r="BG130" s="283"/>
      <c r="BH130" s="283">
        <v>12.7</v>
      </c>
      <c r="BI130" s="3"/>
    </row>
    <row r="131" spans="51:61" x14ac:dyDescent="0.15">
      <c r="AY131" s="87"/>
      <c r="BD131" s="284"/>
      <c r="BE131" s="287">
        <v>62.5</v>
      </c>
      <c r="BF131" s="283">
        <v>37.699999999999989</v>
      </c>
      <c r="BG131" s="283"/>
      <c r="BH131" s="283">
        <v>12.8</v>
      </c>
      <c r="BI131" s="3"/>
    </row>
    <row r="132" spans="51:61" x14ac:dyDescent="0.15">
      <c r="AY132" s="87"/>
      <c r="BD132" s="284"/>
      <c r="BE132" s="287">
        <v>63</v>
      </c>
      <c r="BF132" s="283">
        <v>37.599999999999987</v>
      </c>
      <c r="BG132" s="283"/>
      <c r="BH132" s="283">
        <v>12.9</v>
      </c>
      <c r="BI132" s="3"/>
    </row>
    <row r="133" spans="51:61" x14ac:dyDescent="0.15">
      <c r="AY133" s="87"/>
      <c r="BD133" s="284"/>
      <c r="BE133" s="287">
        <v>63.5</v>
      </c>
      <c r="BF133" s="283">
        <v>37.499999999999986</v>
      </c>
      <c r="BG133" s="283"/>
      <c r="BH133" s="283">
        <v>13</v>
      </c>
      <c r="BI133" s="3"/>
    </row>
    <row r="134" spans="51:61" x14ac:dyDescent="0.15">
      <c r="AY134" s="87"/>
      <c r="BD134" s="284"/>
      <c r="BE134" s="287">
        <v>64</v>
      </c>
      <c r="BF134" s="283">
        <v>37.399999999999984</v>
      </c>
      <c r="BG134" s="283"/>
      <c r="BH134" s="283">
        <v>13.1</v>
      </c>
      <c r="BI134" s="3"/>
    </row>
    <row r="135" spans="51:61" x14ac:dyDescent="0.15">
      <c r="AY135" s="87"/>
      <c r="BD135" s="284"/>
      <c r="BE135" s="287">
        <v>64.5</v>
      </c>
      <c r="BF135" s="283">
        <v>37.299999999999983</v>
      </c>
      <c r="BG135" s="283"/>
      <c r="BH135" s="283">
        <v>13.2</v>
      </c>
      <c r="BI135" s="3"/>
    </row>
    <row r="136" spans="51:61" x14ac:dyDescent="0.15">
      <c r="BD136" s="284"/>
      <c r="BE136" s="287">
        <v>65</v>
      </c>
      <c r="BF136" s="283">
        <v>37.199999999999982</v>
      </c>
      <c r="BG136" s="283"/>
      <c r="BH136" s="283">
        <v>13.3</v>
      </c>
      <c r="BI136" s="3"/>
    </row>
    <row r="137" spans="51:61" x14ac:dyDescent="0.15">
      <c r="BD137" s="284"/>
      <c r="BE137" s="287">
        <v>65.5</v>
      </c>
      <c r="BF137" s="283">
        <v>37.09999999999998</v>
      </c>
      <c r="BG137" s="283"/>
      <c r="BH137" s="283">
        <v>13.4</v>
      </c>
      <c r="BI137" s="3"/>
    </row>
    <row r="138" spans="51:61" x14ac:dyDescent="0.15">
      <c r="BD138" s="284"/>
      <c r="BE138" s="287">
        <v>66</v>
      </c>
      <c r="BF138" s="283">
        <v>36.999999999999979</v>
      </c>
      <c r="BG138" s="283"/>
      <c r="BH138" s="283">
        <v>13.5</v>
      </c>
      <c r="BI138" s="3"/>
    </row>
    <row r="139" spans="51:61" x14ac:dyDescent="0.15">
      <c r="BD139" s="284"/>
      <c r="BE139" s="287">
        <v>66.5</v>
      </c>
      <c r="BF139" s="283">
        <v>36.899999999999977</v>
      </c>
      <c r="BG139" s="283"/>
      <c r="BH139" s="283">
        <v>13.6</v>
      </c>
      <c r="BI139" s="3"/>
    </row>
    <row r="140" spans="51:61" x14ac:dyDescent="0.15">
      <c r="BD140" s="284"/>
      <c r="BE140" s="287">
        <v>67</v>
      </c>
      <c r="BF140" s="283">
        <v>36.799999999999976</v>
      </c>
      <c r="BG140" s="283"/>
      <c r="BH140" s="283">
        <v>13.7</v>
      </c>
      <c r="BI140" s="3"/>
    </row>
    <row r="141" spans="51:61" x14ac:dyDescent="0.15">
      <c r="BD141" s="284"/>
      <c r="BE141" s="287">
        <v>67.5</v>
      </c>
      <c r="BF141" s="283">
        <v>36.699999999999974</v>
      </c>
      <c r="BG141" s="283"/>
      <c r="BH141" s="283">
        <v>13.8</v>
      </c>
      <c r="BI141" s="3"/>
    </row>
    <row r="142" spans="51:61" x14ac:dyDescent="0.15">
      <c r="BD142" s="284"/>
      <c r="BE142" s="287">
        <v>68</v>
      </c>
      <c r="BF142" s="283">
        <v>36.599999999999973</v>
      </c>
      <c r="BG142" s="283"/>
      <c r="BH142" s="283">
        <v>13.9</v>
      </c>
      <c r="BI142" s="3"/>
    </row>
    <row r="143" spans="51:61" x14ac:dyDescent="0.15">
      <c r="BD143" s="284"/>
      <c r="BE143" s="287">
        <v>68.5</v>
      </c>
      <c r="BF143" s="283">
        <v>36.499999999999972</v>
      </c>
      <c r="BG143" s="283"/>
      <c r="BH143" s="283">
        <v>14</v>
      </c>
      <c r="BI143" s="3"/>
    </row>
    <row r="144" spans="51:61" x14ac:dyDescent="0.15">
      <c r="BD144" s="284"/>
      <c r="BE144" s="287">
        <v>69</v>
      </c>
      <c r="BF144" s="283">
        <v>36.39999999999997</v>
      </c>
      <c r="BG144" s="283"/>
      <c r="BH144" s="283">
        <v>14.1</v>
      </c>
      <c r="BI144" s="3"/>
    </row>
    <row r="145" spans="56:61" x14ac:dyDescent="0.15">
      <c r="BD145" s="284"/>
      <c r="BE145" s="287">
        <v>69.5</v>
      </c>
      <c r="BF145" s="283">
        <v>36.299999999999969</v>
      </c>
      <c r="BG145" s="283"/>
      <c r="BH145" s="283">
        <v>14.2</v>
      </c>
      <c r="BI145" s="3"/>
    </row>
    <row r="146" spans="56:61" x14ac:dyDescent="0.15">
      <c r="BD146" s="284"/>
      <c r="BE146" s="287">
        <v>70</v>
      </c>
      <c r="BF146" s="283">
        <v>36.199999999999967</v>
      </c>
      <c r="BG146" s="283"/>
      <c r="BH146" s="283">
        <v>14.3</v>
      </c>
      <c r="BI146" s="3"/>
    </row>
    <row r="147" spans="56:61" x14ac:dyDescent="0.15">
      <c r="BD147" s="284"/>
      <c r="BE147" s="287">
        <v>70.5</v>
      </c>
      <c r="BF147" s="283">
        <v>36.099999999999966</v>
      </c>
      <c r="BG147" s="283"/>
      <c r="BH147" s="283">
        <v>14.4</v>
      </c>
      <c r="BI147" s="3"/>
    </row>
    <row r="148" spans="56:61" x14ac:dyDescent="0.15">
      <c r="BD148" s="284"/>
      <c r="BE148" s="287">
        <v>71</v>
      </c>
      <c r="BF148" s="283">
        <v>35.999999999999964</v>
      </c>
      <c r="BG148" s="283"/>
      <c r="BH148" s="283">
        <v>14.5</v>
      </c>
      <c r="BI148" s="3"/>
    </row>
    <row r="149" spans="56:61" x14ac:dyDescent="0.15">
      <c r="BD149" s="284"/>
      <c r="BE149" s="287">
        <v>71.5</v>
      </c>
      <c r="BF149" s="283">
        <v>35.899999999999963</v>
      </c>
      <c r="BG149" s="283"/>
      <c r="BH149" s="283">
        <v>14.6</v>
      </c>
      <c r="BI149" s="3"/>
    </row>
    <row r="150" spans="56:61" x14ac:dyDescent="0.15">
      <c r="BD150" s="284"/>
      <c r="BE150" s="287">
        <v>72</v>
      </c>
      <c r="BF150" s="283">
        <v>35.799999999999962</v>
      </c>
      <c r="BG150" s="283"/>
      <c r="BH150" s="283">
        <v>14.7</v>
      </c>
      <c r="BI150" s="3"/>
    </row>
    <row r="151" spans="56:61" x14ac:dyDescent="0.15">
      <c r="BD151" s="284"/>
      <c r="BE151" s="287">
        <v>72.5</v>
      </c>
      <c r="BF151" s="283">
        <v>35.69999999999996</v>
      </c>
      <c r="BG151" s="283"/>
      <c r="BH151" s="283">
        <v>14.8</v>
      </c>
      <c r="BI151" s="3"/>
    </row>
    <row r="152" spans="56:61" x14ac:dyDescent="0.15">
      <c r="BD152" s="284"/>
      <c r="BE152" s="287">
        <v>73</v>
      </c>
      <c r="BF152" s="283">
        <v>35.599999999999959</v>
      </c>
      <c r="BG152" s="283"/>
      <c r="BH152" s="283">
        <v>14.9</v>
      </c>
      <c r="BI152" s="3"/>
    </row>
    <row r="153" spans="56:61" x14ac:dyDescent="0.15">
      <c r="BD153" s="284"/>
      <c r="BE153" s="287">
        <v>73.5</v>
      </c>
      <c r="BF153" s="283">
        <v>35.499999999999957</v>
      </c>
      <c r="BG153" s="283"/>
      <c r="BH153" s="283">
        <v>15</v>
      </c>
      <c r="BI153" s="3"/>
    </row>
    <row r="154" spans="56:61" x14ac:dyDescent="0.15">
      <c r="BD154" s="284"/>
      <c r="BE154" s="287">
        <v>74</v>
      </c>
      <c r="BF154" s="283">
        <v>35.399999999999956</v>
      </c>
      <c r="BG154" s="283"/>
      <c r="BH154" s="283">
        <v>15.1</v>
      </c>
      <c r="BI154" s="3"/>
    </row>
    <row r="155" spans="56:61" x14ac:dyDescent="0.15">
      <c r="BD155" s="284"/>
      <c r="BE155" s="287">
        <v>74.5</v>
      </c>
      <c r="BF155" s="283">
        <v>35.299999999999955</v>
      </c>
      <c r="BG155" s="283"/>
      <c r="BH155" s="283">
        <v>15.2</v>
      </c>
      <c r="BI155" s="3"/>
    </row>
    <row r="156" spans="56:61" x14ac:dyDescent="0.15">
      <c r="BD156" s="284"/>
      <c r="BE156" s="287">
        <v>75</v>
      </c>
      <c r="BF156" s="283">
        <v>35.199999999999953</v>
      </c>
      <c r="BG156" s="283"/>
      <c r="BH156" s="283">
        <v>15.3</v>
      </c>
      <c r="BI156" s="3"/>
    </row>
    <row r="157" spans="56:61" x14ac:dyDescent="0.15">
      <c r="BD157" s="284"/>
      <c r="BE157" s="287">
        <v>75.5</v>
      </c>
      <c r="BF157" s="283">
        <v>35.099999999999952</v>
      </c>
      <c r="BG157" s="283"/>
      <c r="BH157" s="283">
        <v>15.4</v>
      </c>
      <c r="BI157" s="3"/>
    </row>
    <row r="158" spans="56:61" x14ac:dyDescent="0.15">
      <c r="BD158" s="284"/>
      <c r="BE158" s="287">
        <v>76</v>
      </c>
      <c r="BF158" s="283">
        <v>34.99999999999995</v>
      </c>
      <c r="BG158" s="283"/>
      <c r="BH158" s="283">
        <v>15.5</v>
      </c>
      <c r="BI158" s="3"/>
    </row>
    <row r="159" spans="56:61" x14ac:dyDescent="0.15">
      <c r="BD159" s="284"/>
      <c r="BE159" s="287">
        <v>76.5</v>
      </c>
      <c r="BF159" s="283">
        <v>34.9</v>
      </c>
      <c r="BG159" s="283"/>
      <c r="BH159" s="283">
        <v>15.6</v>
      </c>
      <c r="BI159" s="3"/>
    </row>
    <row r="160" spans="56:61" x14ac:dyDescent="0.15">
      <c r="BD160" s="284"/>
      <c r="BE160" s="287">
        <v>77</v>
      </c>
      <c r="BF160" s="283">
        <v>34.799999999999997</v>
      </c>
      <c r="BG160" s="283"/>
      <c r="BH160" s="283">
        <v>15.7</v>
      </c>
      <c r="BI160" s="3"/>
    </row>
    <row r="161" spans="56:61" x14ac:dyDescent="0.15">
      <c r="BD161" s="284"/>
      <c r="BE161" s="287">
        <v>77.5</v>
      </c>
      <c r="BF161" s="283">
        <v>34.700000000000003</v>
      </c>
      <c r="BG161" s="283"/>
      <c r="BH161" s="283">
        <v>15.8</v>
      </c>
      <c r="BI161" s="3"/>
    </row>
    <row r="162" spans="56:61" x14ac:dyDescent="0.15">
      <c r="BD162" s="284"/>
      <c r="BE162" s="287">
        <v>78</v>
      </c>
      <c r="BF162" s="283">
        <v>34.6</v>
      </c>
      <c r="BG162" s="283"/>
      <c r="BH162" s="283">
        <v>15.9</v>
      </c>
      <c r="BI162" s="3"/>
    </row>
    <row r="163" spans="56:61" x14ac:dyDescent="0.15">
      <c r="BD163" s="284"/>
      <c r="BE163" s="287">
        <v>78.5</v>
      </c>
      <c r="BF163" s="283">
        <v>34.5</v>
      </c>
      <c r="BG163" s="283"/>
      <c r="BH163" s="283">
        <v>16</v>
      </c>
      <c r="BI163" s="3"/>
    </row>
    <row r="164" spans="56:61" x14ac:dyDescent="0.15">
      <c r="BD164" s="284"/>
      <c r="BE164" s="287">
        <v>79</v>
      </c>
      <c r="BF164" s="283">
        <v>34.4</v>
      </c>
      <c r="BG164" s="283"/>
      <c r="BH164" s="283">
        <v>16.100000000000001</v>
      </c>
      <c r="BI164" s="3"/>
    </row>
    <row r="165" spans="56:61" x14ac:dyDescent="0.15">
      <c r="BD165" s="284"/>
      <c r="BE165" s="287">
        <v>79.5</v>
      </c>
      <c r="BF165" s="283">
        <v>34.299999999999997</v>
      </c>
      <c r="BG165" s="283"/>
      <c r="BH165" s="283">
        <v>16.2</v>
      </c>
      <c r="BI165" s="3"/>
    </row>
    <row r="166" spans="56:61" x14ac:dyDescent="0.15">
      <c r="BD166" s="284"/>
      <c r="BE166" s="287">
        <v>80</v>
      </c>
      <c r="BF166" s="283">
        <v>34.200000000000003</v>
      </c>
      <c r="BG166" s="283"/>
      <c r="BH166" s="283">
        <v>16.3</v>
      </c>
      <c r="BI166" s="3"/>
    </row>
    <row r="167" spans="56:61" x14ac:dyDescent="0.15">
      <c r="BD167" s="284"/>
      <c r="BE167" s="287">
        <v>80.5</v>
      </c>
      <c r="BF167" s="283">
        <v>34.1</v>
      </c>
      <c r="BG167" s="283"/>
      <c r="BH167" s="283">
        <v>16.399999999999999</v>
      </c>
      <c r="BI167" s="3"/>
    </row>
    <row r="168" spans="56:61" x14ac:dyDescent="0.15">
      <c r="BD168" s="284"/>
      <c r="BE168" s="287">
        <v>81</v>
      </c>
      <c r="BF168" s="283">
        <v>34</v>
      </c>
      <c r="BG168" s="283"/>
      <c r="BH168" s="283">
        <v>16.5</v>
      </c>
      <c r="BI168" s="3"/>
    </row>
    <row r="169" spans="56:61" x14ac:dyDescent="0.15">
      <c r="BD169" s="284"/>
      <c r="BE169" s="287">
        <v>81.5</v>
      </c>
      <c r="BF169" s="283">
        <v>33.9</v>
      </c>
      <c r="BG169" s="283"/>
      <c r="BH169" s="283">
        <v>16.600000000000001</v>
      </c>
      <c r="BI169" s="3"/>
    </row>
    <row r="170" spans="56:61" x14ac:dyDescent="0.15">
      <c r="BD170" s="284"/>
      <c r="BE170" s="287">
        <v>82</v>
      </c>
      <c r="BF170" s="283">
        <v>33.799999999999997</v>
      </c>
      <c r="BG170" s="283"/>
      <c r="BH170" s="283">
        <v>16.7</v>
      </c>
      <c r="BI170" s="3"/>
    </row>
    <row r="171" spans="56:61" x14ac:dyDescent="0.15">
      <c r="BD171" s="284"/>
      <c r="BE171" s="287">
        <v>82.5</v>
      </c>
      <c r="BF171" s="283">
        <v>33.700000000000003</v>
      </c>
      <c r="BG171" s="283"/>
      <c r="BH171" s="283">
        <v>16.8</v>
      </c>
      <c r="BI171" s="3"/>
    </row>
    <row r="172" spans="56:61" x14ac:dyDescent="0.15">
      <c r="BD172" s="284"/>
      <c r="BE172" s="287">
        <v>83</v>
      </c>
      <c r="BF172" s="283">
        <v>33.6</v>
      </c>
      <c r="BG172" s="283"/>
      <c r="BH172" s="283">
        <v>16.899999999999999</v>
      </c>
      <c r="BI172" s="3"/>
    </row>
    <row r="173" spans="56:61" x14ac:dyDescent="0.15">
      <c r="BD173" s="284"/>
      <c r="BE173" s="287">
        <v>83.5</v>
      </c>
      <c r="BF173" s="283">
        <v>33.5</v>
      </c>
      <c r="BG173" s="283"/>
      <c r="BH173" s="283">
        <v>17</v>
      </c>
      <c r="BI173" s="3"/>
    </row>
    <row r="174" spans="56:61" x14ac:dyDescent="0.15">
      <c r="BD174" s="284"/>
      <c r="BE174" s="287">
        <v>84</v>
      </c>
      <c r="BF174" s="283">
        <v>33.4</v>
      </c>
      <c r="BG174" s="283"/>
      <c r="BH174" s="283">
        <v>17.100000000000001</v>
      </c>
      <c r="BI174" s="3"/>
    </row>
    <row r="175" spans="56:61" x14ac:dyDescent="0.15">
      <c r="BD175" s="284"/>
      <c r="BE175" s="287">
        <v>84.5</v>
      </c>
      <c r="BF175" s="283">
        <v>33.299999999999997</v>
      </c>
      <c r="BG175" s="283"/>
      <c r="BH175" s="283">
        <v>17.2</v>
      </c>
      <c r="BI175" s="3"/>
    </row>
    <row r="176" spans="56:61" x14ac:dyDescent="0.15">
      <c r="BD176" s="284"/>
      <c r="BE176" s="287">
        <v>85</v>
      </c>
      <c r="BF176" s="283">
        <v>33.200000000000003</v>
      </c>
      <c r="BG176" s="283"/>
      <c r="BH176" s="283">
        <v>17.3</v>
      </c>
      <c r="BI176" s="3"/>
    </row>
    <row r="177" spans="56:61" x14ac:dyDescent="0.15">
      <c r="BD177" s="284"/>
      <c r="BE177" s="287">
        <v>85.5</v>
      </c>
      <c r="BF177" s="283">
        <v>33.1</v>
      </c>
      <c r="BG177" s="283"/>
      <c r="BH177" s="283">
        <v>17.399999999999999</v>
      </c>
      <c r="BI177" s="3"/>
    </row>
    <row r="178" spans="56:61" x14ac:dyDescent="0.15">
      <c r="BD178" s="284"/>
      <c r="BE178" s="287">
        <v>86</v>
      </c>
      <c r="BF178" s="283">
        <v>33</v>
      </c>
      <c r="BG178" s="283"/>
      <c r="BH178" s="283">
        <v>17.5</v>
      </c>
      <c r="BI178" s="3"/>
    </row>
    <row r="179" spans="56:61" x14ac:dyDescent="0.15">
      <c r="BD179" s="284"/>
      <c r="BE179" s="287">
        <v>86.5</v>
      </c>
      <c r="BF179" s="283">
        <v>32.9</v>
      </c>
      <c r="BG179" s="283"/>
      <c r="BH179" s="283">
        <v>17.600000000000001</v>
      </c>
      <c r="BI179" s="3"/>
    </row>
    <row r="180" spans="56:61" x14ac:dyDescent="0.15">
      <c r="BD180" s="284"/>
      <c r="BE180" s="287">
        <v>87</v>
      </c>
      <c r="BF180" s="283">
        <v>32.799999999999997</v>
      </c>
      <c r="BG180" s="283"/>
      <c r="BH180" s="283">
        <v>17.7</v>
      </c>
      <c r="BI180" s="3"/>
    </row>
    <row r="181" spans="56:61" x14ac:dyDescent="0.15">
      <c r="BD181" s="284"/>
      <c r="BE181" s="287">
        <v>87.5</v>
      </c>
      <c r="BF181" s="283">
        <v>32.700000000000003</v>
      </c>
      <c r="BG181" s="283"/>
      <c r="BH181" s="283">
        <v>17.8</v>
      </c>
      <c r="BI181" s="3"/>
    </row>
    <row r="182" spans="56:61" x14ac:dyDescent="0.15">
      <c r="BD182" s="284"/>
      <c r="BE182" s="287">
        <v>88</v>
      </c>
      <c r="BF182" s="283">
        <v>32.6</v>
      </c>
      <c r="BG182" s="283"/>
      <c r="BH182" s="283">
        <v>17.899999999999999</v>
      </c>
      <c r="BI182" s="3"/>
    </row>
    <row r="183" spans="56:61" x14ac:dyDescent="0.15">
      <c r="BD183" s="284"/>
      <c r="BE183" s="287">
        <v>88.5</v>
      </c>
      <c r="BF183" s="283">
        <v>32.5</v>
      </c>
      <c r="BG183" s="283"/>
      <c r="BH183" s="283">
        <v>18</v>
      </c>
      <c r="BI183" s="3"/>
    </row>
    <row r="184" spans="56:61" x14ac:dyDescent="0.15">
      <c r="BD184" s="284"/>
      <c r="BE184" s="287">
        <v>89</v>
      </c>
      <c r="BF184" s="283">
        <v>32.4</v>
      </c>
      <c r="BG184" s="283"/>
      <c r="BH184" s="283">
        <v>18.100000000000001</v>
      </c>
      <c r="BI184" s="3"/>
    </row>
    <row r="185" spans="56:61" x14ac:dyDescent="0.15">
      <c r="BD185" s="284"/>
      <c r="BE185" s="287">
        <v>89.5</v>
      </c>
      <c r="BF185" s="283">
        <v>32.299999999999997</v>
      </c>
      <c r="BG185" s="283"/>
      <c r="BH185" s="283">
        <v>18.2</v>
      </c>
      <c r="BI185" s="3"/>
    </row>
    <row r="186" spans="56:61" x14ac:dyDescent="0.15">
      <c r="BD186" s="284"/>
      <c r="BE186" s="287">
        <v>90</v>
      </c>
      <c r="BF186" s="283">
        <v>32.200000000000003</v>
      </c>
      <c r="BG186" s="283"/>
      <c r="BH186" s="283">
        <v>18.3</v>
      </c>
      <c r="BI186" s="3"/>
    </row>
    <row r="187" spans="56:61" x14ac:dyDescent="0.15">
      <c r="BD187" s="284"/>
      <c r="BE187" s="287">
        <v>90.5</v>
      </c>
      <c r="BF187" s="283">
        <v>32.1</v>
      </c>
      <c r="BG187" s="283"/>
      <c r="BH187" s="283">
        <v>18.399999999999999</v>
      </c>
      <c r="BI187" s="3"/>
    </row>
    <row r="188" spans="56:61" x14ac:dyDescent="0.15">
      <c r="BD188" s="284"/>
      <c r="BE188" s="287">
        <v>91</v>
      </c>
      <c r="BF188" s="283">
        <v>32</v>
      </c>
      <c r="BG188" s="283"/>
      <c r="BH188" s="283">
        <v>18.5</v>
      </c>
      <c r="BI188" s="3"/>
    </row>
    <row r="189" spans="56:61" x14ac:dyDescent="0.15">
      <c r="BD189" s="284"/>
      <c r="BE189" s="287">
        <v>91.5</v>
      </c>
      <c r="BF189" s="283">
        <v>31.9</v>
      </c>
      <c r="BG189" s="283"/>
      <c r="BH189" s="283">
        <v>18.600000000000001</v>
      </c>
      <c r="BI189" s="3"/>
    </row>
    <row r="190" spans="56:61" x14ac:dyDescent="0.15">
      <c r="BD190" s="284"/>
      <c r="BE190" s="287">
        <v>92</v>
      </c>
      <c r="BF190" s="283">
        <v>31.8</v>
      </c>
      <c r="BG190" s="283"/>
      <c r="BH190" s="283">
        <v>18.7</v>
      </c>
      <c r="BI190" s="3"/>
    </row>
    <row r="191" spans="56:61" x14ac:dyDescent="0.15">
      <c r="BD191" s="284"/>
      <c r="BE191" s="287">
        <v>92.5</v>
      </c>
      <c r="BF191" s="283">
        <v>31.7</v>
      </c>
      <c r="BG191" s="283"/>
      <c r="BH191" s="283">
        <v>18.8</v>
      </c>
      <c r="BI191" s="3"/>
    </row>
    <row r="192" spans="56:61" x14ac:dyDescent="0.15">
      <c r="BD192" s="284"/>
      <c r="BE192" s="287">
        <v>93</v>
      </c>
      <c r="BF192" s="283">
        <v>31.6</v>
      </c>
      <c r="BG192" s="283"/>
      <c r="BH192" s="283">
        <v>18.899999999999999</v>
      </c>
      <c r="BI192" s="3"/>
    </row>
    <row r="193" spans="56:61" x14ac:dyDescent="0.15">
      <c r="BD193" s="284"/>
      <c r="BE193" s="287">
        <v>93.5</v>
      </c>
      <c r="BF193" s="283">
        <v>31.5</v>
      </c>
      <c r="BG193" s="283"/>
      <c r="BH193" s="283">
        <v>19</v>
      </c>
      <c r="BI193" s="3"/>
    </row>
    <row r="194" spans="56:61" x14ac:dyDescent="0.15">
      <c r="BD194" s="284"/>
      <c r="BE194" s="287">
        <v>94</v>
      </c>
      <c r="BF194" s="283">
        <v>31.4</v>
      </c>
      <c r="BG194" s="283"/>
      <c r="BH194" s="283">
        <v>19.100000000000001</v>
      </c>
      <c r="BI194" s="3"/>
    </row>
    <row r="195" spans="56:61" x14ac:dyDescent="0.15">
      <c r="BD195" s="284"/>
      <c r="BE195" s="287">
        <v>94.5</v>
      </c>
      <c r="BF195" s="283">
        <v>31.3</v>
      </c>
      <c r="BG195" s="283"/>
      <c r="BH195" s="283">
        <v>19.2</v>
      </c>
      <c r="BI195" s="3"/>
    </row>
    <row r="196" spans="56:61" x14ac:dyDescent="0.15">
      <c r="BD196" s="284"/>
      <c r="BE196" s="287">
        <v>95</v>
      </c>
      <c r="BF196" s="283">
        <v>31.2</v>
      </c>
      <c r="BG196" s="283"/>
      <c r="BH196" s="283">
        <v>19.3</v>
      </c>
      <c r="BI196" s="3"/>
    </row>
    <row r="197" spans="56:61" x14ac:dyDescent="0.15">
      <c r="BD197" s="284"/>
      <c r="BE197" s="287">
        <v>95.5</v>
      </c>
      <c r="BF197" s="283">
        <v>31.1</v>
      </c>
      <c r="BG197" s="283"/>
      <c r="BH197" s="283">
        <v>19.399999999999999</v>
      </c>
      <c r="BI197" s="3"/>
    </row>
    <row r="198" spans="56:61" x14ac:dyDescent="0.15">
      <c r="BD198" s="284"/>
      <c r="BE198" s="287">
        <v>96</v>
      </c>
      <c r="BF198" s="283">
        <v>31</v>
      </c>
      <c r="BG198" s="283"/>
      <c r="BH198" s="283">
        <v>19.5</v>
      </c>
      <c r="BI198" s="3"/>
    </row>
    <row r="199" spans="56:61" x14ac:dyDescent="0.15">
      <c r="BD199" s="284"/>
      <c r="BE199" s="287">
        <v>96.5</v>
      </c>
      <c r="BF199" s="283">
        <v>30.9</v>
      </c>
      <c r="BG199" s="283"/>
      <c r="BH199" s="283">
        <v>19.600000000000001</v>
      </c>
      <c r="BI199" s="3"/>
    </row>
    <row r="200" spans="56:61" x14ac:dyDescent="0.15">
      <c r="BD200" s="284"/>
      <c r="BE200" s="287">
        <v>97</v>
      </c>
      <c r="BF200" s="283">
        <v>30.8</v>
      </c>
      <c r="BG200" s="283"/>
      <c r="BH200" s="283">
        <v>19.7</v>
      </c>
      <c r="BI200" s="3"/>
    </row>
    <row r="201" spans="56:61" x14ac:dyDescent="0.15">
      <c r="BD201" s="284"/>
      <c r="BE201" s="287">
        <v>97.5</v>
      </c>
      <c r="BF201" s="283">
        <v>30.7</v>
      </c>
      <c r="BG201" s="283"/>
      <c r="BH201" s="283">
        <v>19.8</v>
      </c>
      <c r="BI201" s="3"/>
    </row>
    <row r="202" spans="56:61" x14ac:dyDescent="0.15">
      <c r="BD202" s="284"/>
      <c r="BE202" s="287">
        <v>98</v>
      </c>
      <c r="BF202" s="283">
        <v>30.6</v>
      </c>
      <c r="BG202" s="283"/>
      <c r="BH202" s="283">
        <v>19.899999999999999</v>
      </c>
      <c r="BI202" s="3"/>
    </row>
    <row r="203" spans="56:61" x14ac:dyDescent="0.15">
      <c r="BD203" s="284"/>
      <c r="BE203" s="287">
        <v>98.5</v>
      </c>
      <c r="BF203" s="283">
        <v>30.5</v>
      </c>
      <c r="BG203" s="283"/>
      <c r="BH203" s="283">
        <v>20</v>
      </c>
      <c r="BI203" s="3"/>
    </row>
    <row r="204" spans="56:61" x14ac:dyDescent="0.15">
      <c r="BD204" s="284"/>
      <c r="BE204" s="287">
        <v>99</v>
      </c>
      <c r="BF204" s="283">
        <v>30.4</v>
      </c>
      <c r="BG204" s="283"/>
      <c r="BH204" s="283"/>
      <c r="BI204" s="3"/>
    </row>
    <row r="205" spans="56:61" x14ac:dyDescent="0.15">
      <c r="BD205" s="284"/>
      <c r="BE205" s="287">
        <v>99.5</v>
      </c>
      <c r="BF205" s="283">
        <v>30.3</v>
      </c>
      <c r="BG205" s="283"/>
      <c r="BH205" s="283"/>
      <c r="BI205" s="3"/>
    </row>
    <row r="206" spans="56:61" x14ac:dyDescent="0.15">
      <c r="BD206" s="284"/>
      <c r="BE206" s="283">
        <v>100</v>
      </c>
      <c r="BF206" s="283">
        <v>30.2</v>
      </c>
      <c r="BG206" s="283"/>
      <c r="BH206" s="283"/>
      <c r="BI206" s="3"/>
    </row>
    <row r="207" spans="56:61" x14ac:dyDescent="0.15">
      <c r="BD207" s="284"/>
      <c r="BE207" s="283">
        <v>105</v>
      </c>
      <c r="BF207" s="283">
        <v>30.1</v>
      </c>
      <c r="BG207" s="283"/>
      <c r="BH207" s="283"/>
      <c r="BI207" s="3"/>
    </row>
    <row r="208" spans="56:61" x14ac:dyDescent="0.15">
      <c r="BD208" s="284"/>
      <c r="BE208" s="283">
        <v>110</v>
      </c>
      <c r="BF208" s="283">
        <v>30</v>
      </c>
      <c r="BG208" s="283"/>
      <c r="BH208" s="283"/>
      <c r="BI208" s="3"/>
    </row>
    <row r="209" spans="56:61" x14ac:dyDescent="0.15">
      <c r="BD209" s="284"/>
      <c r="BE209" s="283">
        <v>115</v>
      </c>
      <c r="BF209" s="283">
        <v>29.9</v>
      </c>
      <c r="BG209" s="283"/>
      <c r="BH209" s="283"/>
      <c r="BI209" s="3"/>
    </row>
    <row r="210" spans="56:61" x14ac:dyDescent="0.15">
      <c r="BD210" s="284"/>
      <c r="BE210" s="283">
        <v>120</v>
      </c>
      <c r="BF210" s="283">
        <v>29.8</v>
      </c>
      <c r="BG210" s="283"/>
      <c r="BH210" s="283"/>
      <c r="BI210" s="3"/>
    </row>
    <row r="211" spans="56:61" x14ac:dyDescent="0.15">
      <c r="BD211" s="284"/>
      <c r="BE211" s="283">
        <v>125</v>
      </c>
      <c r="BF211" s="283">
        <v>29.7</v>
      </c>
      <c r="BG211" s="283"/>
      <c r="BH211" s="283"/>
      <c r="BI211" s="3"/>
    </row>
    <row r="212" spans="56:61" x14ac:dyDescent="0.15">
      <c r="BD212" s="284"/>
      <c r="BE212" s="283">
        <v>130</v>
      </c>
      <c r="BF212" s="283">
        <v>29.6</v>
      </c>
      <c r="BG212" s="283"/>
      <c r="BH212" s="283"/>
      <c r="BI212" s="3"/>
    </row>
    <row r="213" spans="56:61" x14ac:dyDescent="0.15">
      <c r="BD213" s="284"/>
      <c r="BE213" s="283">
        <v>135</v>
      </c>
      <c r="BF213" s="283">
        <v>29.5</v>
      </c>
      <c r="BG213" s="283"/>
      <c r="BH213" s="283"/>
      <c r="BI213" s="3"/>
    </row>
    <row r="214" spans="56:61" x14ac:dyDescent="0.15">
      <c r="BD214" s="284"/>
      <c r="BE214" s="283">
        <v>140</v>
      </c>
      <c r="BF214" s="283">
        <v>29.4</v>
      </c>
      <c r="BG214" s="283"/>
      <c r="BH214" s="283"/>
      <c r="BI214" s="3"/>
    </row>
    <row r="215" spans="56:61" x14ac:dyDescent="0.15">
      <c r="BD215" s="284"/>
      <c r="BE215" s="283">
        <v>145</v>
      </c>
      <c r="BF215" s="283">
        <v>29.3</v>
      </c>
      <c r="BG215" s="283"/>
      <c r="BH215" s="283"/>
      <c r="BI215" s="3"/>
    </row>
    <row r="216" spans="56:61" x14ac:dyDescent="0.15">
      <c r="BD216" s="284"/>
      <c r="BE216" s="283">
        <v>150</v>
      </c>
      <c r="BF216" s="283">
        <v>29.2</v>
      </c>
      <c r="BG216" s="283"/>
      <c r="BH216" s="283"/>
      <c r="BI216" s="3"/>
    </row>
    <row r="217" spans="56:61" x14ac:dyDescent="0.15">
      <c r="BD217" s="284"/>
      <c r="BE217" s="283">
        <v>155</v>
      </c>
      <c r="BF217" s="283">
        <v>29.1</v>
      </c>
      <c r="BG217" s="283"/>
      <c r="BH217" s="283"/>
      <c r="BI217" s="3"/>
    </row>
    <row r="218" spans="56:61" x14ac:dyDescent="0.15">
      <c r="BD218" s="284"/>
      <c r="BE218" s="283">
        <v>160</v>
      </c>
      <c r="BF218" s="283">
        <v>29</v>
      </c>
      <c r="BG218" s="283"/>
      <c r="BH218" s="283"/>
      <c r="BI218" s="3"/>
    </row>
    <row r="219" spans="56:61" x14ac:dyDescent="0.15">
      <c r="BD219" s="284"/>
      <c r="BE219" s="283">
        <v>165</v>
      </c>
      <c r="BF219" s="283">
        <v>28.9</v>
      </c>
      <c r="BG219" s="283"/>
      <c r="BH219" s="283"/>
      <c r="BI219" s="3"/>
    </row>
    <row r="220" spans="56:61" x14ac:dyDescent="0.15">
      <c r="BD220" s="284"/>
      <c r="BE220" s="283">
        <v>170</v>
      </c>
      <c r="BF220" s="283">
        <v>28.8</v>
      </c>
      <c r="BG220" s="283"/>
      <c r="BH220" s="283"/>
      <c r="BI220" s="3"/>
    </row>
    <row r="221" spans="56:61" x14ac:dyDescent="0.15">
      <c r="BD221" s="284"/>
      <c r="BE221" s="283">
        <v>175</v>
      </c>
      <c r="BF221" s="283">
        <v>28.7</v>
      </c>
      <c r="BG221" s="283"/>
      <c r="BH221" s="283"/>
      <c r="BI221" s="3"/>
    </row>
    <row r="222" spans="56:61" x14ac:dyDescent="0.15">
      <c r="BD222" s="284"/>
      <c r="BE222" s="283">
        <v>180</v>
      </c>
      <c r="BF222" s="283">
        <v>28.6</v>
      </c>
      <c r="BG222" s="283"/>
      <c r="BH222" s="283"/>
      <c r="BI222" s="3"/>
    </row>
    <row r="223" spans="56:61" x14ac:dyDescent="0.15">
      <c r="BD223" s="284"/>
      <c r="BE223" s="283">
        <v>185</v>
      </c>
      <c r="BF223" s="283">
        <v>28.5</v>
      </c>
      <c r="BG223" s="283"/>
      <c r="BH223" s="283"/>
      <c r="BI223" s="3"/>
    </row>
    <row r="224" spans="56:61" x14ac:dyDescent="0.15">
      <c r="BD224" s="284"/>
      <c r="BE224" s="283">
        <v>190</v>
      </c>
      <c r="BF224" s="283">
        <v>28.4</v>
      </c>
      <c r="BG224" s="283"/>
      <c r="BH224" s="283"/>
      <c r="BI224" s="3"/>
    </row>
    <row r="225" spans="56:61" x14ac:dyDescent="0.15">
      <c r="BD225" s="284"/>
      <c r="BE225" s="283">
        <v>195</v>
      </c>
      <c r="BF225" s="283">
        <v>28.3</v>
      </c>
      <c r="BG225" s="283"/>
      <c r="BH225" s="283"/>
      <c r="BI225" s="3"/>
    </row>
    <row r="226" spans="56:61" x14ac:dyDescent="0.15">
      <c r="BD226" s="284"/>
      <c r="BE226" s="283">
        <v>200</v>
      </c>
      <c r="BF226" s="283">
        <v>28.2</v>
      </c>
      <c r="BG226" s="283"/>
      <c r="BH226" s="283"/>
      <c r="BI226" s="3"/>
    </row>
    <row r="227" spans="56:61" x14ac:dyDescent="0.15">
      <c r="BD227" s="284"/>
      <c r="BE227" s="283">
        <v>205</v>
      </c>
      <c r="BF227" s="283">
        <v>28.1</v>
      </c>
      <c r="BG227" s="283"/>
      <c r="BH227" s="283"/>
      <c r="BI227" s="3"/>
    </row>
    <row r="228" spans="56:61" x14ac:dyDescent="0.15">
      <c r="BD228" s="284"/>
      <c r="BE228" s="283">
        <v>210</v>
      </c>
      <c r="BF228" s="283">
        <v>28</v>
      </c>
      <c r="BG228" s="283"/>
      <c r="BH228" s="283"/>
      <c r="BI228" s="3"/>
    </row>
    <row r="229" spans="56:61" x14ac:dyDescent="0.15">
      <c r="BD229" s="284"/>
      <c r="BE229" s="283">
        <v>215</v>
      </c>
      <c r="BF229" s="283">
        <v>27.9</v>
      </c>
      <c r="BG229" s="283"/>
      <c r="BH229" s="283"/>
      <c r="BI229" s="3"/>
    </row>
    <row r="230" spans="56:61" x14ac:dyDescent="0.15">
      <c r="BD230" s="284"/>
      <c r="BE230" s="283">
        <v>220</v>
      </c>
      <c r="BF230" s="283">
        <v>27.8</v>
      </c>
      <c r="BG230" s="283"/>
      <c r="BH230" s="283"/>
      <c r="BI230" s="3"/>
    </row>
    <row r="231" spans="56:61" x14ac:dyDescent="0.15">
      <c r="BD231" s="284"/>
      <c r="BE231" s="283">
        <v>225</v>
      </c>
      <c r="BF231" s="283">
        <v>27.7</v>
      </c>
      <c r="BG231" s="283"/>
      <c r="BH231" s="283"/>
      <c r="BI231" s="3"/>
    </row>
    <row r="232" spans="56:61" x14ac:dyDescent="0.15">
      <c r="BD232" s="284"/>
      <c r="BE232" s="283">
        <v>230</v>
      </c>
      <c r="BF232" s="283">
        <v>27.6</v>
      </c>
      <c r="BG232" s="283"/>
      <c r="BH232" s="283"/>
      <c r="BI232" s="3"/>
    </row>
    <row r="233" spans="56:61" x14ac:dyDescent="0.15">
      <c r="BD233" s="284"/>
      <c r="BE233" s="283">
        <v>235</v>
      </c>
      <c r="BF233" s="283">
        <v>27.5</v>
      </c>
      <c r="BG233" s="283"/>
      <c r="BH233" s="283"/>
      <c r="BI233" s="3"/>
    </row>
    <row r="234" spans="56:61" x14ac:dyDescent="0.15">
      <c r="BD234" s="284"/>
      <c r="BE234" s="283">
        <v>240</v>
      </c>
      <c r="BF234" s="283">
        <v>27.4</v>
      </c>
      <c r="BG234" s="283"/>
      <c r="BH234" s="283"/>
      <c r="BI234" s="3"/>
    </row>
    <row r="235" spans="56:61" x14ac:dyDescent="0.15">
      <c r="BD235" s="284"/>
      <c r="BE235" s="283">
        <v>245</v>
      </c>
      <c r="BF235" s="283">
        <v>27.3</v>
      </c>
      <c r="BG235" s="283"/>
      <c r="BH235" s="283"/>
      <c r="BI235" s="3"/>
    </row>
    <row r="236" spans="56:61" x14ac:dyDescent="0.15">
      <c r="BD236" s="284"/>
      <c r="BE236" s="283">
        <v>250</v>
      </c>
      <c r="BF236" s="283">
        <v>27.2</v>
      </c>
      <c r="BG236" s="283"/>
      <c r="BH236" s="283"/>
      <c r="BI236" s="3"/>
    </row>
    <row r="237" spans="56:61" x14ac:dyDescent="0.15">
      <c r="BD237" s="284"/>
      <c r="BE237" s="287">
        <v>260</v>
      </c>
      <c r="BF237" s="283">
        <v>27.1</v>
      </c>
      <c r="BG237" s="283"/>
      <c r="BH237" s="283"/>
      <c r="BI237" s="3"/>
    </row>
    <row r="238" spans="56:61" x14ac:dyDescent="0.15">
      <c r="BD238" s="284"/>
      <c r="BE238" s="287">
        <v>270</v>
      </c>
      <c r="BF238" s="283">
        <v>27</v>
      </c>
      <c r="BG238" s="283"/>
      <c r="BH238" s="283"/>
      <c r="BI238" s="3"/>
    </row>
    <row r="239" spans="56:61" x14ac:dyDescent="0.15">
      <c r="BD239" s="284"/>
      <c r="BE239" s="287">
        <v>280</v>
      </c>
      <c r="BF239" s="283">
        <v>26.9</v>
      </c>
      <c r="BG239" s="283"/>
      <c r="BH239" s="283"/>
      <c r="BI239" s="3"/>
    </row>
    <row r="240" spans="56:61" x14ac:dyDescent="0.15">
      <c r="BD240" s="284"/>
      <c r="BE240" s="287">
        <v>290</v>
      </c>
      <c r="BF240" s="283">
        <v>26.8</v>
      </c>
      <c r="BG240" s="283"/>
      <c r="BH240" s="283"/>
      <c r="BI240" s="3"/>
    </row>
    <row r="241" spans="56:61" x14ac:dyDescent="0.15">
      <c r="BD241" s="284"/>
      <c r="BE241" s="287">
        <v>300</v>
      </c>
      <c r="BF241" s="283">
        <v>26.7</v>
      </c>
      <c r="BG241" s="283"/>
      <c r="BH241" s="283"/>
      <c r="BI241" s="3"/>
    </row>
    <row r="242" spans="56:61" x14ac:dyDescent="0.15">
      <c r="BD242" s="284"/>
      <c r="BE242" s="287">
        <v>350</v>
      </c>
      <c r="BF242" s="283">
        <v>26.6</v>
      </c>
      <c r="BG242" s="283"/>
      <c r="BH242" s="283"/>
      <c r="BI242" s="3"/>
    </row>
    <row r="243" spans="56:61" x14ac:dyDescent="0.15">
      <c r="BD243" s="284"/>
      <c r="BE243" s="287">
        <v>400</v>
      </c>
      <c r="BF243" s="283">
        <v>26.5</v>
      </c>
      <c r="BG243" s="283"/>
      <c r="BH243" s="283"/>
      <c r="BI243" s="3"/>
    </row>
    <row r="244" spans="56:61" x14ac:dyDescent="0.15">
      <c r="BD244" s="284"/>
      <c r="BE244" s="287">
        <v>450</v>
      </c>
      <c r="BF244" s="283">
        <v>26.4</v>
      </c>
      <c r="BG244" s="283"/>
      <c r="BH244" s="283"/>
      <c r="BI244" s="3"/>
    </row>
    <row r="245" spans="56:61" x14ac:dyDescent="0.15">
      <c r="BD245" s="284"/>
      <c r="BE245" s="287">
        <v>500</v>
      </c>
      <c r="BF245" s="283">
        <v>26.3</v>
      </c>
      <c r="BG245" s="283"/>
      <c r="BH245" s="283"/>
      <c r="BI245" s="3"/>
    </row>
    <row r="246" spans="56:61" x14ac:dyDescent="0.15">
      <c r="BD246" s="284"/>
      <c r="BE246" s="287">
        <v>600</v>
      </c>
      <c r="BF246" s="283">
        <v>26.2</v>
      </c>
      <c r="BG246" s="283"/>
      <c r="BH246" s="283"/>
      <c r="BI246" s="3"/>
    </row>
    <row r="247" spans="56:61" x14ac:dyDescent="0.15">
      <c r="BD247" s="284"/>
      <c r="BE247" s="287">
        <v>700</v>
      </c>
      <c r="BF247" s="283">
        <v>26.1</v>
      </c>
      <c r="BG247" s="283"/>
      <c r="BH247" s="283"/>
      <c r="BI247" s="3"/>
    </row>
    <row r="248" spans="56:61" x14ac:dyDescent="0.15">
      <c r="BD248" s="284"/>
      <c r="BE248" s="287">
        <v>800</v>
      </c>
      <c r="BF248" s="283">
        <v>26</v>
      </c>
      <c r="BG248" s="283"/>
      <c r="BH248" s="283"/>
      <c r="BI248" s="3"/>
    </row>
    <row r="249" spans="56:61" x14ac:dyDescent="0.15">
      <c r="BD249" s="284"/>
      <c r="BE249" s="287">
        <v>900</v>
      </c>
      <c r="BF249" s="283">
        <v>25.9</v>
      </c>
      <c r="BG249" s="283"/>
      <c r="BH249" s="283"/>
      <c r="BI249" s="3"/>
    </row>
    <row r="250" spans="56:61" x14ac:dyDescent="0.15">
      <c r="BD250" s="284"/>
      <c r="BE250" s="287">
        <v>1000</v>
      </c>
      <c r="BF250" s="283">
        <v>25.8</v>
      </c>
      <c r="BG250" s="283"/>
      <c r="BH250" s="283"/>
      <c r="BI250" s="3"/>
    </row>
    <row r="251" spans="56:61" x14ac:dyDescent="0.15">
      <c r="BD251" s="284"/>
      <c r="BE251" s="284"/>
      <c r="BF251" s="283">
        <v>25.7</v>
      </c>
      <c r="BG251" s="283"/>
      <c r="BH251" s="283"/>
      <c r="BI251" s="3"/>
    </row>
    <row r="252" spans="56:61" x14ac:dyDescent="0.15">
      <c r="BD252" s="284"/>
      <c r="BE252" s="284"/>
      <c r="BF252" s="283">
        <v>25.6</v>
      </c>
      <c r="BG252" s="283"/>
      <c r="BH252" s="283"/>
      <c r="BI252" s="3"/>
    </row>
    <row r="253" spans="56:61" x14ac:dyDescent="0.15">
      <c r="BD253" s="284"/>
      <c r="BE253" s="284"/>
      <c r="BF253" s="283">
        <v>25.5</v>
      </c>
      <c r="BG253" s="283"/>
      <c r="BH253" s="283"/>
      <c r="BI253" s="3"/>
    </row>
    <row r="254" spans="56:61" x14ac:dyDescent="0.15">
      <c r="BD254" s="284"/>
      <c r="BE254" s="284"/>
      <c r="BF254" s="283">
        <v>25.4</v>
      </c>
      <c r="BG254" s="283"/>
      <c r="BH254" s="283"/>
      <c r="BI254" s="3"/>
    </row>
    <row r="255" spans="56:61" x14ac:dyDescent="0.15">
      <c r="BD255" s="284"/>
      <c r="BE255" s="284"/>
      <c r="BF255" s="283">
        <v>25.3</v>
      </c>
      <c r="BG255" s="283"/>
      <c r="BH255" s="283"/>
      <c r="BI255" s="3"/>
    </row>
    <row r="256" spans="56:61" x14ac:dyDescent="0.15">
      <c r="BD256" s="284"/>
      <c r="BE256" s="284"/>
      <c r="BF256" s="283">
        <v>25.2</v>
      </c>
      <c r="BG256" s="283"/>
      <c r="BH256" s="283"/>
      <c r="BI256" s="3"/>
    </row>
    <row r="257" spans="56:61" x14ac:dyDescent="0.15">
      <c r="BD257" s="284"/>
      <c r="BE257" s="284"/>
      <c r="BF257" s="283">
        <v>25.1</v>
      </c>
      <c r="BG257" s="283"/>
      <c r="BH257" s="283"/>
      <c r="BI257" s="3"/>
    </row>
    <row r="258" spans="56:61" x14ac:dyDescent="0.15">
      <c r="BD258" s="284"/>
      <c r="BE258" s="284"/>
      <c r="BF258" s="283">
        <v>25</v>
      </c>
      <c r="BG258" s="283"/>
      <c r="BH258" s="283"/>
      <c r="BI258" s="3"/>
    </row>
    <row r="259" spans="56:61" x14ac:dyDescent="0.15">
      <c r="BD259" s="284"/>
      <c r="BE259" s="284"/>
      <c r="BF259" s="283">
        <v>24.9</v>
      </c>
      <c r="BG259" s="283"/>
      <c r="BH259" s="283"/>
      <c r="BI259" s="3"/>
    </row>
    <row r="260" spans="56:61" x14ac:dyDescent="0.15">
      <c r="BD260" s="284"/>
      <c r="BE260" s="284"/>
      <c r="BF260" s="283">
        <v>24.8</v>
      </c>
      <c r="BG260" s="283"/>
      <c r="BH260" s="283"/>
      <c r="BI260" s="3"/>
    </row>
    <row r="261" spans="56:61" x14ac:dyDescent="0.15">
      <c r="BD261" s="284"/>
      <c r="BE261" s="284"/>
      <c r="BF261" s="283">
        <v>24.7</v>
      </c>
      <c r="BG261" s="283"/>
      <c r="BH261" s="283"/>
      <c r="BI261" s="3"/>
    </row>
    <row r="262" spans="56:61" x14ac:dyDescent="0.15">
      <c r="BD262" s="284"/>
      <c r="BE262" s="284"/>
      <c r="BF262" s="283">
        <v>24.6</v>
      </c>
      <c r="BG262" s="283"/>
      <c r="BH262" s="283"/>
      <c r="BI262" s="3"/>
    </row>
    <row r="263" spans="56:61" x14ac:dyDescent="0.15">
      <c r="BD263" s="284"/>
      <c r="BE263" s="284"/>
      <c r="BF263" s="283">
        <v>24.5</v>
      </c>
      <c r="BG263" s="283"/>
      <c r="BH263" s="283"/>
      <c r="BI263" s="3"/>
    </row>
    <row r="264" spans="56:61" x14ac:dyDescent="0.15">
      <c r="BD264" s="284"/>
      <c r="BE264" s="284"/>
      <c r="BF264" s="283">
        <v>24.4</v>
      </c>
      <c r="BG264" s="283"/>
      <c r="BH264" s="283"/>
      <c r="BI264" s="3"/>
    </row>
    <row r="265" spans="56:61" x14ac:dyDescent="0.15">
      <c r="BD265" s="284"/>
      <c r="BE265" s="284"/>
      <c r="BF265" s="283">
        <v>24.3</v>
      </c>
      <c r="BG265" s="283"/>
      <c r="BH265" s="283"/>
      <c r="BI265" s="3"/>
    </row>
    <row r="266" spans="56:61" x14ac:dyDescent="0.15">
      <c r="BD266" s="284"/>
      <c r="BE266" s="284"/>
      <c r="BF266" s="283">
        <v>24.2</v>
      </c>
      <c r="BG266" s="283"/>
      <c r="BH266" s="283"/>
      <c r="BI266" s="3"/>
    </row>
    <row r="267" spans="56:61" x14ac:dyDescent="0.15">
      <c r="BD267" s="284"/>
      <c r="BE267" s="284"/>
      <c r="BF267" s="283">
        <v>24.1</v>
      </c>
      <c r="BG267" s="283"/>
      <c r="BH267" s="283"/>
      <c r="BI267" s="3"/>
    </row>
    <row r="268" spans="56:61" x14ac:dyDescent="0.15">
      <c r="BD268" s="284"/>
      <c r="BE268" s="284"/>
      <c r="BF268" s="283">
        <v>24</v>
      </c>
      <c r="BG268" s="283"/>
      <c r="BH268" s="283"/>
      <c r="BI268" s="3"/>
    </row>
    <row r="269" spans="56:61" x14ac:dyDescent="0.15">
      <c r="BD269" s="284"/>
      <c r="BE269" s="284"/>
      <c r="BF269" s="283">
        <v>23.9</v>
      </c>
      <c r="BG269" s="283"/>
      <c r="BH269" s="283"/>
      <c r="BI269" s="3"/>
    </row>
    <row r="270" spans="56:61" x14ac:dyDescent="0.15">
      <c r="BD270" s="284"/>
      <c r="BE270" s="284"/>
      <c r="BF270" s="283">
        <v>23.8</v>
      </c>
      <c r="BG270" s="283"/>
      <c r="BH270" s="283"/>
      <c r="BI270" s="3"/>
    </row>
    <row r="271" spans="56:61" x14ac:dyDescent="0.15">
      <c r="BD271" s="284"/>
      <c r="BE271" s="284"/>
      <c r="BF271" s="283">
        <v>23.7</v>
      </c>
      <c r="BG271" s="283"/>
      <c r="BH271" s="283"/>
      <c r="BI271" s="3"/>
    </row>
    <row r="272" spans="56:61" x14ac:dyDescent="0.15">
      <c r="BD272" s="284"/>
      <c r="BE272" s="284"/>
      <c r="BF272" s="283">
        <v>23.6</v>
      </c>
      <c r="BG272" s="283"/>
      <c r="BH272" s="283"/>
      <c r="BI272" s="3"/>
    </row>
    <row r="273" spans="56:61" x14ac:dyDescent="0.15">
      <c r="BD273" s="284"/>
      <c r="BE273" s="284"/>
      <c r="BF273" s="283">
        <v>23.5</v>
      </c>
      <c r="BG273" s="283"/>
      <c r="BH273" s="283"/>
      <c r="BI273" s="3"/>
    </row>
    <row r="274" spans="56:61" x14ac:dyDescent="0.15">
      <c r="BD274" s="284"/>
      <c r="BE274" s="284"/>
      <c r="BF274" s="283">
        <v>23.4</v>
      </c>
      <c r="BG274" s="283"/>
      <c r="BH274" s="283"/>
      <c r="BI274" s="3"/>
    </row>
    <row r="275" spans="56:61" x14ac:dyDescent="0.15">
      <c r="BD275" s="284"/>
      <c r="BE275" s="284"/>
      <c r="BF275" s="283">
        <v>23.3</v>
      </c>
      <c r="BG275" s="283"/>
      <c r="BH275" s="283"/>
      <c r="BI275" s="3"/>
    </row>
    <row r="276" spans="56:61" x14ac:dyDescent="0.15">
      <c r="BD276" s="284"/>
      <c r="BE276" s="284"/>
      <c r="BF276" s="283">
        <v>23.2</v>
      </c>
      <c r="BG276" s="283"/>
      <c r="BH276" s="283"/>
      <c r="BI276" s="3"/>
    </row>
    <row r="277" spans="56:61" x14ac:dyDescent="0.15">
      <c r="BD277" s="284"/>
      <c r="BE277" s="284"/>
      <c r="BF277" s="283">
        <v>23.1</v>
      </c>
      <c r="BG277" s="283"/>
      <c r="BH277" s="283"/>
      <c r="BI277" s="3"/>
    </row>
    <row r="278" spans="56:61" x14ac:dyDescent="0.15">
      <c r="BD278" s="284"/>
      <c r="BE278" s="284"/>
      <c r="BF278" s="283">
        <v>23</v>
      </c>
      <c r="BG278" s="283"/>
      <c r="BH278" s="283"/>
      <c r="BI278" s="3"/>
    </row>
    <row r="279" spans="56:61" x14ac:dyDescent="0.15">
      <c r="BD279" s="284"/>
      <c r="BE279" s="284"/>
      <c r="BF279" s="283">
        <v>22.9</v>
      </c>
      <c r="BG279" s="283"/>
      <c r="BH279" s="283"/>
      <c r="BI279" s="3"/>
    </row>
    <row r="280" spans="56:61" x14ac:dyDescent="0.15">
      <c r="BD280" s="284"/>
      <c r="BE280" s="284"/>
      <c r="BF280" s="283">
        <v>22.8</v>
      </c>
      <c r="BG280" s="283"/>
      <c r="BH280" s="283"/>
      <c r="BI280" s="3"/>
    </row>
    <row r="281" spans="56:61" x14ac:dyDescent="0.15">
      <c r="BD281" s="284"/>
      <c r="BE281" s="284"/>
      <c r="BF281" s="283">
        <v>22.7</v>
      </c>
      <c r="BG281" s="283"/>
      <c r="BH281" s="283"/>
      <c r="BI281" s="3"/>
    </row>
    <row r="282" spans="56:61" x14ac:dyDescent="0.15">
      <c r="BD282" s="284"/>
      <c r="BE282" s="284"/>
      <c r="BF282" s="283">
        <v>22.6</v>
      </c>
      <c r="BG282" s="283"/>
      <c r="BH282" s="283"/>
      <c r="BI282" s="3"/>
    </row>
    <row r="283" spans="56:61" x14ac:dyDescent="0.15">
      <c r="BD283" s="284"/>
      <c r="BE283" s="284"/>
      <c r="BF283" s="283">
        <v>22.5</v>
      </c>
      <c r="BG283" s="283"/>
      <c r="BH283" s="283"/>
      <c r="BI283" s="3"/>
    </row>
    <row r="284" spans="56:61" x14ac:dyDescent="0.15">
      <c r="BD284" s="284"/>
      <c r="BE284" s="284"/>
      <c r="BF284" s="283">
        <v>22.4</v>
      </c>
      <c r="BG284" s="283"/>
      <c r="BH284" s="283"/>
      <c r="BI284" s="3"/>
    </row>
    <row r="285" spans="56:61" x14ac:dyDescent="0.15">
      <c r="BD285" s="284"/>
      <c r="BE285" s="284"/>
      <c r="BF285" s="283">
        <v>22.3</v>
      </c>
      <c r="BG285" s="283"/>
      <c r="BH285" s="283"/>
      <c r="BI285" s="3"/>
    </row>
    <row r="286" spans="56:61" x14ac:dyDescent="0.15">
      <c r="BD286" s="284"/>
      <c r="BE286" s="284"/>
      <c r="BF286" s="283">
        <v>22.2</v>
      </c>
      <c r="BG286" s="283"/>
      <c r="BH286" s="283"/>
      <c r="BI286" s="3"/>
    </row>
    <row r="287" spans="56:61" x14ac:dyDescent="0.15">
      <c r="BD287" s="284"/>
      <c r="BE287" s="284"/>
      <c r="BF287" s="283">
        <v>22.1</v>
      </c>
      <c r="BG287" s="283"/>
      <c r="BH287" s="283"/>
      <c r="BI287" s="3"/>
    </row>
    <row r="288" spans="56:61" x14ac:dyDescent="0.15">
      <c r="BD288" s="284"/>
      <c r="BE288" s="284"/>
      <c r="BF288" s="283">
        <v>22</v>
      </c>
      <c r="BG288" s="283"/>
      <c r="BH288" s="283"/>
      <c r="BI288" s="3"/>
    </row>
    <row r="289" spans="56:61" x14ac:dyDescent="0.15">
      <c r="BD289" s="284"/>
      <c r="BE289" s="284"/>
      <c r="BF289" s="283">
        <v>21.9</v>
      </c>
      <c r="BG289" s="283"/>
      <c r="BH289" s="283"/>
      <c r="BI289" s="3"/>
    </row>
    <row r="290" spans="56:61" x14ac:dyDescent="0.15">
      <c r="BD290" s="284"/>
      <c r="BE290" s="284"/>
      <c r="BF290" s="283">
        <v>21.8</v>
      </c>
      <c r="BG290" s="283"/>
      <c r="BH290" s="283"/>
      <c r="BI290" s="3"/>
    </row>
    <row r="291" spans="56:61" x14ac:dyDescent="0.15">
      <c r="BD291" s="284"/>
      <c r="BE291" s="284"/>
      <c r="BF291" s="283">
        <v>21.7</v>
      </c>
      <c r="BG291" s="283"/>
      <c r="BH291" s="283"/>
      <c r="BI291" s="3"/>
    </row>
    <row r="292" spans="56:61" x14ac:dyDescent="0.15">
      <c r="BD292" s="284"/>
      <c r="BE292" s="284"/>
      <c r="BF292" s="283">
        <v>21.6</v>
      </c>
      <c r="BG292" s="283"/>
      <c r="BH292" s="283"/>
      <c r="BI292" s="3"/>
    </row>
    <row r="293" spans="56:61" x14ac:dyDescent="0.15">
      <c r="BD293" s="284"/>
      <c r="BE293" s="284"/>
      <c r="BF293" s="283">
        <v>21.5</v>
      </c>
      <c r="BG293" s="283"/>
      <c r="BH293" s="283"/>
      <c r="BI293" s="3"/>
    </row>
    <row r="294" spans="56:61" x14ac:dyDescent="0.15">
      <c r="BD294" s="284"/>
      <c r="BE294" s="284"/>
      <c r="BF294" s="283">
        <v>21.4</v>
      </c>
      <c r="BG294" s="283"/>
      <c r="BH294" s="283"/>
      <c r="BI294" s="3"/>
    </row>
    <row r="295" spans="56:61" x14ac:dyDescent="0.15">
      <c r="BD295" s="284"/>
      <c r="BE295" s="284"/>
      <c r="BF295" s="283">
        <v>21.3</v>
      </c>
      <c r="BG295" s="283"/>
      <c r="BH295" s="283"/>
      <c r="BI295" s="3"/>
    </row>
    <row r="296" spans="56:61" x14ac:dyDescent="0.15">
      <c r="BD296" s="284"/>
      <c r="BE296" s="284"/>
      <c r="BF296" s="283">
        <v>21.2</v>
      </c>
      <c r="BG296" s="283"/>
      <c r="BH296" s="283"/>
      <c r="BI296" s="3"/>
    </row>
    <row r="297" spans="56:61" x14ac:dyDescent="0.15">
      <c r="BD297" s="284"/>
      <c r="BE297" s="284"/>
      <c r="BF297" s="283">
        <v>21.1</v>
      </c>
      <c r="BG297" s="283"/>
      <c r="BH297" s="283"/>
      <c r="BI297" s="3"/>
    </row>
    <row r="298" spans="56:61" x14ac:dyDescent="0.15">
      <c r="BD298" s="284"/>
      <c r="BE298" s="284"/>
      <c r="BF298" s="283">
        <v>21</v>
      </c>
      <c r="BG298" s="283"/>
      <c r="BH298" s="283"/>
      <c r="BI298" s="3"/>
    </row>
    <row r="299" spans="56:61" x14ac:dyDescent="0.15">
      <c r="BD299" s="284"/>
      <c r="BE299" s="284"/>
      <c r="BF299" s="283">
        <v>20.9</v>
      </c>
      <c r="BG299" s="283"/>
      <c r="BH299" s="283"/>
      <c r="BI299" s="3"/>
    </row>
    <row r="300" spans="56:61" x14ac:dyDescent="0.15">
      <c r="BD300" s="284"/>
      <c r="BE300" s="284"/>
      <c r="BF300" s="283">
        <v>20.8</v>
      </c>
      <c r="BG300" s="283"/>
      <c r="BH300" s="283"/>
      <c r="BI300" s="3"/>
    </row>
    <row r="301" spans="56:61" x14ac:dyDescent="0.15">
      <c r="BD301" s="284"/>
      <c r="BE301" s="284"/>
      <c r="BF301" s="283">
        <v>20.7</v>
      </c>
      <c r="BG301" s="283"/>
      <c r="BH301" s="283"/>
      <c r="BI301" s="3"/>
    </row>
    <row r="302" spans="56:61" x14ac:dyDescent="0.15">
      <c r="BD302" s="284"/>
      <c r="BE302" s="284"/>
      <c r="BF302" s="283">
        <v>20.6</v>
      </c>
      <c r="BG302" s="283"/>
      <c r="BH302" s="283"/>
      <c r="BI302" s="3"/>
    </row>
    <row r="303" spans="56:61" x14ac:dyDescent="0.15">
      <c r="BD303" s="284"/>
      <c r="BE303" s="284"/>
      <c r="BF303" s="283">
        <v>20.5</v>
      </c>
      <c r="BG303" s="283"/>
      <c r="BH303" s="283"/>
      <c r="BI303" s="3"/>
    </row>
    <row r="304" spans="56:61" x14ac:dyDescent="0.15">
      <c r="BD304" s="284"/>
      <c r="BE304" s="284"/>
      <c r="BF304" s="283">
        <v>20.399999999999999</v>
      </c>
      <c r="BG304" s="283"/>
      <c r="BH304" s="283"/>
      <c r="BI304" s="3"/>
    </row>
    <row r="305" spans="56:61" x14ac:dyDescent="0.15">
      <c r="BD305" s="284"/>
      <c r="BE305" s="284"/>
      <c r="BF305" s="283">
        <v>20.3</v>
      </c>
      <c r="BG305" s="283"/>
      <c r="BH305" s="283"/>
      <c r="BI305" s="3"/>
    </row>
    <row r="306" spans="56:61" x14ac:dyDescent="0.15">
      <c r="BD306" s="284"/>
      <c r="BE306" s="284"/>
      <c r="BF306" s="283">
        <v>20.2</v>
      </c>
      <c r="BG306" s="283"/>
      <c r="BH306" s="283"/>
      <c r="BI306" s="3"/>
    </row>
    <row r="307" spans="56:61" x14ac:dyDescent="0.15">
      <c r="BD307" s="284"/>
      <c r="BE307" s="284"/>
      <c r="BF307" s="283">
        <v>20.100000000000001</v>
      </c>
      <c r="BG307" s="283"/>
      <c r="BH307" s="283"/>
      <c r="BI307" s="3"/>
    </row>
    <row r="308" spans="56:61" x14ac:dyDescent="0.15">
      <c r="BD308" s="284"/>
      <c r="BE308" s="284"/>
      <c r="BF308" s="283">
        <v>20</v>
      </c>
      <c r="BG308" s="283"/>
      <c r="BH308" s="283"/>
      <c r="BI308" s="3"/>
    </row>
    <row r="309" spans="56:61" x14ac:dyDescent="0.15">
      <c r="BD309" s="284"/>
      <c r="BE309" s="284"/>
      <c r="BF309" s="283">
        <v>19.899999999999999</v>
      </c>
      <c r="BG309" s="283"/>
      <c r="BH309" s="283"/>
      <c r="BI309" s="3"/>
    </row>
    <row r="310" spans="56:61" x14ac:dyDescent="0.15">
      <c r="BD310" s="284"/>
      <c r="BE310" s="284"/>
      <c r="BF310" s="283">
        <v>19.8</v>
      </c>
      <c r="BG310" s="283"/>
      <c r="BH310" s="283"/>
      <c r="BI310" s="3"/>
    </row>
    <row r="311" spans="56:61" x14ac:dyDescent="0.15">
      <c r="BD311" s="284"/>
      <c r="BE311" s="284"/>
      <c r="BF311" s="283">
        <v>19.7</v>
      </c>
      <c r="BG311" s="283"/>
      <c r="BH311" s="283"/>
      <c r="BI311" s="3"/>
    </row>
    <row r="312" spans="56:61" x14ac:dyDescent="0.15">
      <c r="BD312" s="284"/>
      <c r="BE312" s="284"/>
      <c r="BF312" s="283">
        <v>19.600000000000001</v>
      </c>
      <c r="BG312" s="283"/>
      <c r="BH312" s="283"/>
      <c r="BI312" s="3"/>
    </row>
    <row r="313" spans="56:61" x14ac:dyDescent="0.15">
      <c r="BD313" s="284"/>
      <c r="BE313" s="284"/>
      <c r="BF313" s="283">
        <v>19.5</v>
      </c>
      <c r="BG313" s="283"/>
      <c r="BH313" s="283"/>
      <c r="BI313" s="3"/>
    </row>
    <row r="314" spans="56:61" x14ac:dyDescent="0.15">
      <c r="BD314" s="284"/>
      <c r="BE314" s="284"/>
      <c r="BF314" s="283">
        <v>19.399999999999999</v>
      </c>
      <c r="BG314" s="283"/>
      <c r="BH314" s="283"/>
      <c r="BI314" s="3"/>
    </row>
    <row r="315" spans="56:61" x14ac:dyDescent="0.15">
      <c r="BD315" s="284"/>
      <c r="BE315" s="284"/>
      <c r="BF315" s="283">
        <v>19.3</v>
      </c>
      <c r="BG315" s="283"/>
      <c r="BH315" s="283"/>
      <c r="BI315" s="3"/>
    </row>
    <row r="316" spans="56:61" x14ac:dyDescent="0.15">
      <c r="BD316" s="284"/>
      <c r="BE316" s="284"/>
      <c r="BF316" s="283">
        <v>19.2</v>
      </c>
      <c r="BG316" s="283"/>
      <c r="BH316" s="283"/>
      <c r="BI316" s="3"/>
    </row>
    <row r="317" spans="56:61" x14ac:dyDescent="0.15">
      <c r="BD317" s="284"/>
      <c r="BE317" s="284"/>
      <c r="BF317" s="283">
        <v>19.100000000000001</v>
      </c>
      <c r="BG317" s="283"/>
      <c r="BH317" s="283"/>
      <c r="BI317" s="3"/>
    </row>
    <row r="318" spans="56:61" x14ac:dyDescent="0.15">
      <c r="BD318" s="284"/>
      <c r="BE318" s="284"/>
      <c r="BF318" s="283">
        <v>19</v>
      </c>
      <c r="BG318" s="283"/>
      <c r="BH318" s="283"/>
      <c r="BI318" s="3"/>
    </row>
    <row r="319" spans="56:61" x14ac:dyDescent="0.15">
      <c r="BD319" s="284"/>
      <c r="BE319" s="284"/>
      <c r="BF319" s="283">
        <v>18.899999999999999</v>
      </c>
      <c r="BG319" s="283"/>
      <c r="BH319" s="283"/>
      <c r="BI319" s="3"/>
    </row>
    <row r="320" spans="56:61" x14ac:dyDescent="0.15">
      <c r="BD320" s="284"/>
      <c r="BE320" s="284"/>
      <c r="BF320" s="283">
        <v>18.8</v>
      </c>
      <c r="BG320" s="283"/>
      <c r="BH320" s="283"/>
      <c r="BI320" s="3"/>
    </row>
    <row r="321" spans="56:61" x14ac:dyDescent="0.15">
      <c r="BD321" s="284"/>
      <c r="BE321" s="284"/>
      <c r="BF321" s="283">
        <v>18.7</v>
      </c>
      <c r="BG321" s="283"/>
      <c r="BH321" s="283"/>
      <c r="BI321" s="3"/>
    </row>
    <row r="322" spans="56:61" x14ac:dyDescent="0.15">
      <c r="BD322" s="284"/>
      <c r="BE322" s="284"/>
      <c r="BF322" s="283">
        <v>18.600000000000001</v>
      </c>
      <c r="BG322" s="283"/>
      <c r="BH322" s="283"/>
      <c r="BI322" s="3"/>
    </row>
    <row r="323" spans="56:61" x14ac:dyDescent="0.15">
      <c r="BD323" s="284"/>
      <c r="BE323" s="284"/>
      <c r="BF323" s="283">
        <v>18.5</v>
      </c>
      <c r="BG323" s="283"/>
      <c r="BH323" s="283"/>
      <c r="BI323" s="3"/>
    </row>
    <row r="324" spans="56:61" x14ac:dyDescent="0.15">
      <c r="BD324" s="284"/>
      <c r="BE324" s="284"/>
      <c r="BF324" s="283">
        <v>18.399999999999999</v>
      </c>
      <c r="BG324" s="283"/>
      <c r="BH324" s="283"/>
      <c r="BI324" s="3"/>
    </row>
    <row r="325" spans="56:61" x14ac:dyDescent="0.15">
      <c r="BD325" s="284"/>
      <c r="BE325" s="284"/>
      <c r="BF325" s="283">
        <v>18.3</v>
      </c>
      <c r="BG325" s="283"/>
      <c r="BH325" s="283"/>
      <c r="BI325" s="3"/>
    </row>
    <row r="326" spans="56:61" x14ac:dyDescent="0.15">
      <c r="BD326" s="284"/>
      <c r="BE326" s="284"/>
      <c r="BF326" s="283">
        <v>18.2</v>
      </c>
      <c r="BG326" s="283"/>
      <c r="BH326" s="283"/>
      <c r="BI326" s="3"/>
    </row>
    <row r="327" spans="56:61" x14ac:dyDescent="0.15">
      <c r="BD327" s="284"/>
      <c r="BE327" s="284"/>
      <c r="BF327" s="283">
        <v>18.100000000000001</v>
      </c>
      <c r="BG327" s="283"/>
      <c r="BH327" s="283"/>
      <c r="BI327" s="3"/>
    </row>
    <row r="328" spans="56:61" x14ac:dyDescent="0.15">
      <c r="BD328" s="284"/>
      <c r="BE328" s="284"/>
      <c r="BF328" s="283">
        <v>18</v>
      </c>
      <c r="BG328" s="283"/>
      <c r="BH328" s="283"/>
      <c r="BI328" s="3"/>
    </row>
    <row r="329" spans="56:61" x14ac:dyDescent="0.15">
      <c r="BD329" s="284"/>
      <c r="BE329" s="284"/>
      <c r="BF329" s="283">
        <v>17.899999999999999</v>
      </c>
      <c r="BG329" s="283"/>
      <c r="BH329" s="283"/>
      <c r="BI329" s="3"/>
    </row>
    <row r="330" spans="56:61" x14ac:dyDescent="0.15">
      <c r="BD330" s="284"/>
      <c r="BE330" s="284"/>
      <c r="BF330" s="283">
        <v>17.8</v>
      </c>
      <c r="BG330" s="283"/>
      <c r="BH330" s="283"/>
      <c r="BI330" s="3"/>
    </row>
    <row r="331" spans="56:61" x14ac:dyDescent="0.15">
      <c r="BD331" s="284"/>
      <c r="BE331" s="284"/>
      <c r="BF331" s="283">
        <v>17.7</v>
      </c>
      <c r="BG331" s="283"/>
      <c r="BH331" s="283"/>
      <c r="BI331" s="3"/>
    </row>
    <row r="332" spans="56:61" x14ac:dyDescent="0.15">
      <c r="BD332" s="284"/>
      <c r="BE332" s="284"/>
      <c r="BF332" s="283">
        <v>17.600000000000001</v>
      </c>
      <c r="BG332" s="283"/>
      <c r="BH332" s="283"/>
      <c r="BI332" s="3"/>
    </row>
    <row r="333" spans="56:61" x14ac:dyDescent="0.15">
      <c r="BD333" s="284"/>
      <c r="BE333" s="284"/>
      <c r="BF333" s="283">
        <v>17.5</v>
      </c>
      <c r="BG333" s="283"/>
      <c r="BH333" s="283"/>
      <c r="BI333" s="3"/>
    </row>
    <row r="334" spans="56:61" x14ac:dyDescent="0.15">
      <c r="BD334" s="284"/>
      <c r="BE334" s="284"/>
      <c r="BF334" s="283">
        <v>17.399999999999999</v>
      </c>
      <c r="BG334" s="283"/>
      <c r="BH334" s="283"/>
      <c r="BI334" s="3"/>
    </row>
    <row r="335" spans="56:61" x14ac:dyDescent="0.15">
      <c r="BD335" s="284"/>
      <c r="BE335" s="284"/>
      <c r="BF335" s="283">
        <v>17.3</v>
      </c>
      <c r="BG335" s="283"/>
      <c r="BH335" s="283"/>
      <c r="BI335" s="3"/>
    </row>
    <row r="336" spans="56:61" x14ac:dyDescent="0.15">
      <c r="BD336" s="284"/>
      <c r="BE336" s="284"/>
      <c r="BF336" s="283">
        <v>17.2</v>
      </c>
      <c r="BG336" s="283"/>
      <c r="BH336" s="283"/>
      <c r="BI336" s="3"/>
    </row>
    <row r="337" spans="56:61" x14ac:dyDescent="0.15">
      <c r="BD337" s="284"/>
      <c r="BE337" s="284"/>
      <c r="BF337" s="283">
        <v>17.100000000000001</v>
      </c>
      <c r="BG337" s="283"/>
      <c r="BH337" s="283"/>
      <c r="BI337" s="3"/>
    </row>
    <row r="338" spans="56:61" x14ac:dyDescent="0.15">
      <c r="BD338" s="284"/>
      <c r="BE338" s="284"/>
      <c r="BF338" s="283">
        <v>17</v>
      </c>
      <c r="BG338" s="283"/>
      <c r="BH338" s="283"/>
      <c r="BI338" s="3"/>
    </row>
    <row r="339" spans="56:61" x14ac:dyDescent="0.15">
      <c r="BD339" s="284"/>
      <c r="BE339" s="284"/>
      <c r="BF339" s="283">
        <v>16.899999999999999</v>
      </c>
      <c r="BG339" s="283"/>
      <c r="BH339" s="283"/>
      <c r="BI339" s="3"/>
    </row>
    <row r="340" spans="56:61" x14ac:dyDescent="0.15">
      <c r="BD340" s="284"/>
      <c r="BE340" s="284"/>
      <c r="BF340" s="283">
        <v>16.8</v>
      </c>
      <c r="BG340" s="283"/>
      <c r="BH340" s="283"/>
      <c r="BI340" s="3"/>
    </row>
    <row r="341" spans="56:61" x14ac:dyDescent="0.15">
      <c r="BD341" s="284"/>
      <c r="BE341" s="284"/>
      <c r="BF341" s="283">
        <v>16.7</v>
      </c>
      <c r="BG341" s="283"/>
      <c r="BH341" s="283"/>
      <c r="BI341" s="3"/>
    </row>
    <row r="342" spans="56:61" x14ac:dyDescent="0.15">
      <c r="BD342" s="284"/>
      <c r="BE342" s="284"/>
      <c r="BF342" s="283">
        <v>16.600000000000001</v>
      </c>
      <c r="BG342" s="283"/>
      <c r="BH342" s="283"/>
      <c r="BI342" s="3"/>
    </row>
    <row r="343" spans="56:61" x14ac:dyDescent="0.15">
      <c r="BD343" s="284"/>
      <c r="BE343" s="284"/>
      <c r="BF343" s="283">
        <v>16.5</v>
      </c>
      <c r="BG343" s="283"/>
      <c r="BH343" s="283"/>
      <c r="BI343" s="3"/>
    </row>
    <row r="344" spans="56:61" x14ac:dyDescent="0.15">
      <c r="BD344" s="284"/>
      <c r="BE344" s="284"/>
      <c r="BF344" s="283">
        <v>16.399999999999999</v>
      </c>
      <c r="BG344" s="283"/>
      <c r="BH344" s="283"/>
      <c r="BI344" s="3"/>
    </row>
    <row r="345" spans="56:61" x14ac:dyDescent="0.15">
      <c r="BD345" s="284"/>
      <c r="BE345" s="284"/>
      <c r="BF345" s="283">
        <v>16.3</v>
      </c>
      <c r="BG345" s="283"/>
      <c r="BH345" s="283"/>
      <c r="BI345" s="3"/>
    </row>
    <row r="346" spans="56:61" x14ac:dyDescent="0.15">
      <c r="BD346" s="284"/>
      <c r="BE346" s="284"/>
      <c r="BF346" s="283">
        <v>16.2</v>
      </c>
      <c r="BG346" s="283"/>
      <c r="BH346" s="283"/>
      <c r="BI346" s="3"/>
    </row>
    <row r="347" spans="56:61" x14ac:dyDescent="0.15">
      <c r="BD347" s="284"/>
      <c r="BE347" s="284"/>
      <c r="BF347" s="283">
        <v>16.100000000000001</v>
      </c>
      <c r="BG347" s="283"/>
      <c r="BH347" s="283"/>
      <c r="BI347" s="3"/>
    </row>
    <row r="348" spans="56:61" x14ac:dyDescent="0.15">
      <c r="BD348" s="284"/>
      <c r="BE348" s="284"/>
      <c r="BF348" s="283">
        <v>16</v>
      </c>
      <c r="BG348" s="283"/>
      <c r="BH348" s="283"/>
      <c r="BI348" s="3"/>
    </row>
    <row r="349" spans="56:61" x14ac:dyDescent="0.15">
      <c r="BD349" s="284"/>
      <c r="BE349" s="284"/>
      <c r="BF349" s="283">
        <v>15.9</v>
      </c>
      <c r="BG349" s="283"/>
      <c r="BH349" s="283"/>
      <c r="BI349" s="3"/>
    </row>
    <row r="350" spans="56:61" x14ac:dyDescent="0.15">
      <c r="BD350" s="284"/>
      <c r="BE350" s="284"/>
      <c r="BF350" s="283">
        <v>15.8</v>
      </c>
      <c r="BG350" s="283"/>
      <c r="BH350" s="283"/>
      <c r="BI350" s="3"/>
    </row>
    <row r="351" spans="56:61" x14ac:dyDescent="0.15">
      <c r="BD351" s="284"/>
      <c r="BE351" s="284"/>
      <c r="BF351" s="283">
        <v>15.7</v>
      </c>
      <c r="BG351" s="283"/>
      <c r="BH351" s="283"/>
      <c r="BI351" s="3"/>
    </row>
    <row r="352" spans="56:61" x14ac:dyDescent="0.15">
      <c r="BD352" s="284"/>
      <c r="BE352" s="284"/>
      <c r="BF352" s="283">
        <v>15.6</v>
      </c>
      <c r="BG352" s="283"/>
      <c r="BH352" s="283"/>
      <c r="BI352" s="3"/>
    </row>
    <row r="353" spans="56:61" x14ac:dyDescent="0.15">
      <c r="BD353" s="284"/>
      <c r="BE353" s="284"/>
      <c r="BF353" s="283">
        <v>15.5</v>
      </c>
      <c r="BG353" s="283"/>
      <c r="BH353" s="283"/>
      <c r="BI353" s="3"/>
    </row>
    <row r="354" spans="56:61" x14ac:dyDescent="0.15">
      <c r="BD354" s="284"/>
      <c r="BE354" s="284"/>
      <c r="BF354" s="283">
        <v>15.4</v>
      </c>
      <c r="BG354" s="283"/>
      <c r="BH354" s="283"/>
      <c r="BI354" s="3"/>
    </row>
    <row r="355" spans="56:61" x14ac:dyDescent="0.15">
      <c r="BD355" s="284"/>
      <c r="BE355" s="284"/>
      <c r="BF355" s="283">
        <v>15.3</v>
      </c>
      <c r="BG355" s="283"/>
      <c r="BH355" s="283"/>
      <c r="BI355" s="3"/>
    </row>
    <row r="356" spans="56:61" x14ac:dyDescent="0.15">
      <c r="BD356" s="284"/>
      <c r="BE356" s="284"/>
      <c r="BF356" s="283">
        <v>15.2</v>
      </c>
      <c r="BG356" s="283"/>
      <c r="BH356" s="283"/>
      <c r="BI356" s="3"/>
    </row>
    <row r="357" spans="56:61" x14ac:dyDescent="0.15">
      <c r="BD357" s="284"/>
      <c r="BE357" s="284"/>
      <c r="BF357" s="283">
        <v>15.1</v>
      </c>
      <c r="BG357" s="283"/>
      <c r="BH357" s="283"/>
      <c r="BI357" s="3"/>
    </row>
    <row r="358" spans="56:61" x14ac:dyDescent="0.15">
      <c r="BD358" s="284"/>
      <c r="BE358" s="284"/>
      <c r="BF358" s="283">
        <v>15</v>
      </c>
      <c r="BG358" s="283"/>
      <c r="BH358" s="283"/>
      <c r="BI358" s="3"/>
    </row>
    <row r="359" spans="56:61" x14ac:dyDescent="0.15">
      <c r="BD359" s="284"/>
      <c r="BE359" s="284"/>
      <c r="BF359" s="288"/>
      <c r="BG359" s="284"/>
      <c r="BH359" s="284"/>
      <c r="BI359" s="3"/>
    </row>
    <row r="360" spans="56:61" x14ac:dyDescent="0.15">
      <c r="BD360" s="284"/>
      <c r="BE360" s="284"/>
      <c r="BF360" s="288"/>
      <c r="BG360" s="284"/>
      <c r="BH360" s="284"/>
      <c r="BI360" s="3"/>
    </row>
    <row r="361" spans="56:61" x14ac:dyDescent="0.15">
      <c r="BD361" s="284"/>
      <c r="BE361" s="284"/>
      <c r="BF361" s="288"/>
      <c r="BG361" s="284"/>
      <c r="BH361" s="284"/>
      <c r="BI361" s="3"/>
    </row>
    <row r="362" spans="56:61" x14ac:dyDescent="0.15">
      <c r="BD362" s="284"/>
      <c r="BE362" s="284"/>
      <c r="BF362" s="288"/>
      <c r="BG362" s="284"/>
      <c r="BH362" s="284"/>
      <c r="BI362" s="3"/>
    </row>
    <row r="363" spans="56:61" x14ac:dyDescent="0.15">
      <c r="BD363" s="284"/>
      <c r="BE363" s="284"/>
      <c r="BF363" s="288"/>
      <c r="BG363" s="284"/>
      <c r="BH363" s="284"/>
      <c r="BI363" s="3"/>
    </row>
    <row r="364" spans="56:61" x14ac:dyDescent="0.15">
      <c r="BD364" s="284"/>
      <c r="BE364" s="284"/>
      <c r="BF364" s="288"/>
      <c r="BG364" s="284"/>
      <c r="BH364" s="284"/>
      <c r="BI364" s="3"/>
    </row>
    <row r="365" spans="56:61" x14ac:dyDescent="0.15">
      <c r="BD365" s="284"/>
      <c r="BE365" s="284"/>
      <c r="BF365" s="288"/>
      <c r="BG365" s="284"/>
      <c r="BH365" s="284"/>
      <c r="BI365" s="3"/>
    </row>
    <row r="366" spans="56:61" x14ac:dyDescent="0.15">
      <c r="BD366" s="284"/>
      <c r="BE366" s="284"/>
      <c r="BF366" s="288"/>
      <c r="BG366" s="284"/>
      <c r="BH366" s="284"/>
      <c r="BI366" s="3"/>
    </row>
    <row r="367" spans="56:61" x14ac:dyDescent="0.15">
      <c r="BD367" s="284"/>
      <c r="BE367" s="284"/>
      <c r="BF367" s="288"/>
      <c r="BG367" s="284"/>
      <c r="BH367" s="284"/>
      <c r="BI367" s="3"/>
    </row>
    <row r="368" spans="56:61" x14ac:dyDescent="0.15">
      <c r="BD368" s="284"/>
      <c r="BE368" s="284"/>
      <c r="BF368" s="288"/>
      <c r="BG368" s="284"/>
      <c r="BH368" s="284"/>
      <c r="BI368" s="3"/>
    </row>
    <row r="369" spans="56:61" x14ac:dyDescent="0.15">
      <c r="BD369" s="284"/>
      <c r="BE369" s="284"/>
      <c r="BF369" s="288"/>
      <c r="BG369" s="284"/>
      <c r="BH369" s="284"/>
      <c r="BI369" s="3"/>
    </row>
    <row r="370" spans="56:61" x14ac:dyDescent="0.15">
      <c r="BD370" s="284"/>
      <c r="BE370" s="284"/>
      <c r="BF370" s="288"/>
      <c r="BG370" s="284"/>
      <c r="BH370" s="284"/>
      <c r="BI370" s="3"/>
    </row>
    <row r="371" spans="56:61" x14ac:dyDescent="0.15">
      <c r="BD371" s="284"/>
      <c r="BE371" s="284"/>
      <c r="BF371" s="288"/>
      <c r="BG371" s="284"/>
      <c r="BH371" s="284"/>
      <c r="BI371" s="3"/>
    </row>
    <row r="372" spans="56:61" x14ac:dyDescent="0.15">
      <c r="BD372" s="284"/>
      <c r="BE372" s="284"/>
      <c r="BF372" s="288"/>
      <c r="BG372" s="284"/>
      <c r="BH372" s="284"/>
      <c r="BI372" s="3"/>
    </row>
    <row r="373" spans="56:61" x14ac:dyDescent="0.15">
      <c r="BD373" s="284"/>
      <c r="BE373" s="284"/>
      <c r="BF373" s="288"/>
      <c r="BG373" s="284"/>
      <c r="BH373" s="284"/>
      <c r="BI373" s="3"/>
    </row>
    <row r="374" spans="56:61" x14ac:dyDescent="0.15">
      <c r="BD374" s="284"/>
      <c r="BE374" s="284"/>
      <c r="BF374" s="288"/>
      <c r="BG374" s="284"/>
      <c r="BH374" s="284"/>
      <c r="BI374" s="3"/>
    </row>
    <row r="375" spans="56:61" x14ac:dyDescent="0.15">
      <c r="BD375" s="3"/>
      <c r="BE375" s="3"/>
      <c r="BF375" s="257"/>
      <c r="BG375" s="3"/>
      <c r="BH375" s="3"/>
      <c r="BI375" s="3"/>
    </row>
    <row r="376" spans="56:61" x14ac:dyDescent="0.15">
      <c r="BD376" s="3"/>
      <c r="BE376" s="3"/>
      <c r="BF376" s="257"/>
      <c r="BG376" s="3"/>
      <c r="BH376" s="3"/>
      <c r="BI376" s="3"/>
    </row>
    <row r="377" spans="56:61" x14ac:dyDescent="0.15">
      <c r="BD377" s="3"/>
      <c r="BE377" s="3"/>
      <c r="BF377" s="257"/>
      <c r="BG377" s="3"/>
      <c r="BH377" s="3"/>
      <c r="BI377" s="3"/>
    </row>
    <row r="378" spans="56:61" x14ac:dyDescent="0.15">
      <c r="BD378" s="3"/>
      <c r="BE378" s="3"/>
      <c r="BF378" s="257"/>
      <c r="BG378" s="3"/>
      <c r="BH378" s="3"/>
      <c r="BI378" s="3"/>
    </row>
    <row r="379" spans="56:61" x14ac:dyDescent="0.15">
      <c r="BF379" s="57"/>
    </row>
    <row r="380" spans="56:61" x14ac:dyDescent="0.15">
      <c r="BF380" s="57"/>
    </row>
    <row r="381" spans="56:61" x14ac:dyDescent="0.15">
      <c r="BF381" s="57"/>
    </row>
    <row r="382" spans="56:61" x14ac:dyDescent="0.15">
      <c r="BF382" s="57"/>
    </row>
    <row r="383" spans="56:61" x14ac:dyDescent="0.15">
      <c r="BF383" s="57"/>
    </row>
    <row r="384" spans="56:61" x14ac:dyDescent="0.15">
      <c r="BF384" s="57"/>
    </row>
    <row r="385" spans="58:58" x14ac:dyDescent="0.15">
      <c r="BF385" s="57"/>
    </row>
    <row r="386" spans="58:58" x14ac:dyDescent="0.15">
      <c r="BF386" s="57"/>
    </row>
    <row r="387" spans="58:58" x14ac:dyDescent="0.15">
      <c r="BF387" s="57"/>
    </row>
    <row r="388" spans="58:58" x14ac:dyDescent="0.15">
      <c r="BF388" s="57"/>
    </row>
    <row r="389" spans="58:58" x14ac:dyDescent="0.15">
      <c r="BF389" s="57"/>
    </row>
    <row r="390" spans="58:58" x14ac:dyDescent="0.15">
      <c r="BF390" s="57"/>
    </row>
    <row r="391" spans="58:58" x14ac:dyDescent="0.15">
      <c r="BF391" s="57"/>
    </row>
    <row r="392" spans="58:58" x14ac:dyDescent="0.15">
      <c r="BF392" s="57"/>
    </row>
    <row r="393" spans="58:58" x14ac:dyDescent="0.15">
      <c r="BF393" s="57"/>
    </row>
    <row r="394" spans="58:58" x14ac:dyDescent="0.15">
      <c r="BF394" s="57"/>
    </row>
  </sheetData>
  <mergeCells count="220">
    <mergeCell ref="AV57:AW59"/>
    <mergeCell ref="R51:V52"/>
    <mergeCell ref="B45:AW48"/>
    <mergeCell ref="K42:AX42"/>
    <mergeCell ref="B44:E44"/>
    <mergeCell ref="H44:K44"/>
    <mergeCell ref="N44:Q44"/>
    <mergeCell ref="T44:X44"/>
    <mergeCell ref="AA44:AG44"/>
    <mergeCell ref="AB52:AO52"/>
    <mergeCell ref="A39:AH39"/>
    <mergeCell ref="AM39:AR39"/>
    <mergeCell ref="AS39:AW39"/>
    <mergeCell ref="Q40:AX40"/>
    <mergeCell ref="B41:G41"/>
    <mergeCell ref="S41:X41"/>
    <mergeCell ref="AP50:AQ50"/>
    <mergeCell ref="X50:AB50"/>
    <mergeCell ref="AC50:AE50"/>
    <mergeCell ref="AF50:AG50"/>
    <mergeCell ref="AH50:AJ50"/>
    <mergeCell ref="AK50:AL50"/>
    <mergeCell ref="AM50:AO50"/>
    <mergeCell ref="Z38:AA38"/>
    <mergeCell ref="AC38:AH38"/>
    <mergeCell ref="AM38:AR38"/>
    <mergeCell ref="AS38:AW38"/>
    <mergeCell ref="Z35:AA35"/>
    <mergeCell ref="AC35:AJ35"/>
    <mergeCell ref="AM35:AR35"/>
    <mergeCell ref="AS35:AW35"/>
    <mergeCell ref="Z36:AA36"/>
    <mergeCell ref="AC36:AI36"/>
    <mergeCell ref="AM36:AR36"/>
    <mergeCell ref="AS36:AW36"/>
    <mergeCell ref="AH34:AL34"/>
    <mergeCell ref="AM34:AR34"/>
    <mergeCell ref="AS34:AW34"/>
    <mergeCell ref="AB31:AB32"/>
    <mergeCell ref="AC31:AG31"/>
    <mergeCell ref="AM31:AR31"/>
    <mergeCell ref="AS31:AW31"/>
    <mergeCell ref="AM37:AR37"/>
    <mergeCell ref="AS37:AW37"/>
    <mergeCell ref="A32:Y36"/>
    <mergeCell ref="Z32:AA32"/>
    <mergeCell ref="AC32:AG32"/>
    <mergeCell ref="AM32:AR32"/>
    <mergeCell ref="AS32:AW32"/>
    <mergeCell ref="Z33:AA33"/>
    <mergeCell ref="AZ28:AZ39"/>
    <mergeCell ref="D29:J29"/>
    <mergeCell ref="AD29:AJ29"/>
    <mergeCell ref="AM29:AR29"/>
    <mergeCell ref="AS29:AW29"/>
    <mergeCell ref="A30:Y31"/>
    <mergeCell ref="AD30:AJ30"/>
    <mergeCell ref="AM30:AR30"/>
    <mergeCell ref="AS30:AW30"/>
    <mergeCell ref="Z31:AA31"/>
    <mergeCell ref="A27:A28"/>
    <mergeCell ref="B27:B28"/>
    <mergeCell ref="C27:C28"/>
    <mergeCell ref="D27:H28"/>
    <mergeCell ref="I27:I28"/>
    <mergeCell ref="AC33:AH33"/>
    <mergeCell ref="AM33:AR33"/>
    <mergeCell ref="AS33:AW33"/>
    <mergeCell ref="J28:S28"/>
    <mergeCell ref="X28:Y28"/>
    <mergeCell ref="Z28:Z29"/>
    <mergeCell ref="AA28:AA29"/>
    <mergeCell ref="AC28:AC29"/>
    <mergeCell ref="AD28:AJ28"/>
    <mergeCell ref="AM28:AR28"/>
    <mergeCell ref="AS28:AW28"/>
    <mergeCell ref="T27:T28"/>
    <mergeCell ref="U27:U28"/>
    <mergeCell ref="W27:W28"/>
    <mergeCell ref="X27:Y27"/>
    <mergeCell ref="AB27:AF27"/>
    <mergeCell ref="AM27:AR27"/>
    <mergeCell ref="J27:S27"/>
    <mergeCell ref="AH25:AJ25"/>
    <mergeCell ref="AK25:AS25"/>
    <mergeCell ref="AT25:AX25"/>
    <mergeCell ref="AA26:AA27"/>
    <mergeCell ref="AB26:AF26"/>
    <mergeCell ref="AG26:AG27"/>
    <mergeCell ref="AH26:AL27"/>
    <mergeCell ref="AM26:AW26"/>
    <mergeCell ref="AS27:AU27"/>
    <mergeCell ref="AV27:AW27"/>
    <mergeCell ref="AH23:AJ23"/>
    <mergeCell ref="AK23:AN23"/>
    <mergeCell ref="AO23:AQ23"/>
    <mergeCell ref="AS23:AT23"/>
    <mergeCell ref="AV23:AX23"/>
    <mergeCell ref="U22:AA22"/>
    <mergeCell ref="AD22:AH22"/>
    <mergeCell ref="AK22:AR22"/>
    <mergeCell ref="AE24:AF24"/>
    <mergeCell ref="AH24:AJ24"/>
    <mergeCell ref="AK24:AQ24"/>
    <mergeCell ref="AV24:AX24"/>
    <mergeCell ref="T24:V24"/>
    <mergeCell ref="W24:Z24"/>
    <mergeCell ref="AA24:AC24"/>
    <mergeCell ref="A23:H25"/>
    <mergeCell ref="I23:L23"/>
    <mergeCell ref="M23:O23"/>
    <mergeCell ref="Q23:R23"/>
    <mergeCell ref="T23:V23"/>
    <mergeCell ref="W23:Z23"/>
    <mergeCell ref="AA23:AC23"/>
    <mergeCell ref="A20:H20"/>
    <mergeCell ref="I20:W20"/>
    <mergeCell ref="Y20:AE20"/>
    <mergeCell ref="AE23:AF23"/>
    <mergeCell ref="I25:L25"/>
    <mergeCell ref="M25:O25"/>
    <mergeCell ref="Q25:R25"/>
    <mergeCell ref="T25:V25"/>
    <mergeCell ref="W25:Z25"/>
    <mergeCell ref="AA25:AC25"/>
    <mergeCell ref="I24:L24"/>
    <mergeCell ref="M24:O24"/>
    <mergeCell ref="Q24:R24"/>
    <mergeCell ref="AE25:AF25"/>
    <mergeCell ref="AH20:AJ20"/>
    <mergeCell ref="AM20:AS20"/>
    <mergeCell ref="A21:H21"/>
    <mergeCell ref="I21:W21"/>
    <mergeCell ref="Y21:AE21"/>
    <mergeCell ref="AH21:AJ21"/>
    <mergeCell ref="AM21:AS21"/>
    <mergeCell ref="A19:H19"/>
    <mergeCell ref="I19:K19"/>
    <mergeCell ref="L19:M19"/>
    <mergeCell ref="N19:R19"/>
    <mergeCell ref="S19:U19"/>
    <mergeCell ref="V19:W19"/>
    <mergeCell ref="A18:H18"/>
    <mergeCell ref="I18:M18"/>
    <mergeCell ref="N18:R18"/>
    <mergeCell ref="S18:W18"/>
    <mergeCell ref="AL18:AR18"/>
    <mergeCell ref="A17:H17"/>
    <mergeCell ref="I17:M17"/>
    <mergeCell ref="N17:R17"/>
    <mergeCell ref="S17:W17"/>
    <mergeCell ref="Z17:AD17"/>
    <mergeCell ref="AF17:AJ17"/>
    <mergeCell ref="A15:H15"/>
    <mergeCell ref="I15:M15"/>
    <mergeCell ref="N15:R15"/>
    <mergeCell ref="S15:W15"/>
    <mergeCell ref="A16:H16"/>
    <mergeCell ref="I16:M16"/>
    <mergeCell ref="N16:R16"/>
    <mergeCell ref="S16:W16"/>
    <mergeCell ref="AL17:AR17"/>
    <mergeCell ref="AN13:AR13"/>
    <mergeCell ref="A14:H14"/>
    <mergeCell ref="I14:M14"/>
    <mergeCell ref="N14:R14"/>
    <mergeCell ref="S14:W14"/>
    <mergeCell ref="AN14:AR14"/>
    <mergeCell ref="A13:H13"/>
    <mergeCell ref="I13:M13"/>
    <mergeCell ref="N13:R13"/>
    <mergeCell ref="S13:W13"/>
    <mergeCell ref="Y13:AC13"/>
    <mergeCell ref="AD13:AG13"/>
    <mergeCell ref="AH13:AL13"/>
    <mergeCell ref="A11:H11"/>
    <mergeCell ref="I11:M11"/>
    <mergeCell ref="N11:R11"/>
    <mergeCell ref="S11:W11"/>
    <mergeCell ref="A12:H12"/>
    <mergeCell ref="I12:M12"/>
    <mergeCell ref="N12:R12"/>
    <mergeCell ref="S12:W12"/>
    <mergeCell ref="AE9:AE10"/>
    <mergeCell ref="AL9:AL10"/>
    <mergeCell ref="AM9:AQ10"/>
    <mergeCell ref="AR9:AU10"/>
    <mergeCell ref="A10:H10"/>
    <mergeCell ref="I10:M10"/>
    <mergeCell ref="N10:R10"/>
    <mergeCell ref="S10:W10"/>
    <mergeCell ref="Y10:AD10"/>
    <mergeCell ref="A8:H8"/>
    <mergeCell ref="I8:M8"/>
    <mergeCell ref="N8:R8"/>
    <mergeCell ref="S8:W8"/>
    <mergeCell ref="Y8:AW8"/>
    <mergeCell ref="A9:H9"/>
    <mergeCell ref="I9:M9"/>
    <mergeCell ref="N9:R9"/>
    <mergeCell ref="S9:W9"/>
    <mergeCell ref="Y9:AD9"/>
    <mergeCell ref="AF10:AK10"/>
    <mergeCell ref="AF9:AK9"/>
    <mergeCell ref="BA6:BB6"/>
    <mergeCell ref="A7:H7"/>
    <mergeCell ref="I7:M7"/>
    <mergeCell ref="N7:R7"/>
    <mergeCell ref="S7:W7"/>
    <mergeCell ref="X7:AA7"/>
    <mergeCell ref="AG2:AI2"/>
    <mergeCell ref="A3:AX3"/>
    <mergeCell ref="A4:AX4"/>
    <mergeCell ref="U5:X5"/>
    <mergeCell ref="A6:H6"/>
    <mergeCell ref="I6:M6"/>
    <mergeCell ref="N6:R6"/>
    <mergeCell ref="S6:W6"/>
    <mergeCell ref="X6:AA6"/>
    <mergeCell ref="H1:O2"/>
  </mergeCells>
  <phoneticPr fontId="2"/>
  <dataValidations count="9">
    <dataValidation type="list" allowBlank="1" showInputMessage="1" showErrorMessage="1" sqref="AG2:AI2">
      <formula1>$AZ$27:$BC$27</formula1>
    </dataValidation>
    <dataValidation type="list" allowBlank="1" showInputMessage="1" showErrorMessage="1" sqref="AV24:AX24">
      <formula1>$BE$6:$BE$66</formula1>
    </dataValidation>
    <dataValidation type="list" allowBlank="1" showInputMessage="1" showErrorMessage="1" sqref="U22:AA22">
      <formula1>$BE$6:$BE$250</formula1>
    </dataValidation>
    <dataValidation type="list" allowBlank="1" showInputMessage="1" showErrorMessage="1" sqref="N18:R18 Q23:R25 AE23:AF25 AS23:AT23">
      <formula1>$BD$6:$BD$23</formula1>
    </dataValidation>
    <dataValidation type="list" allowBlank="1" showInputMessage="1" showErrorMessage="1" sqref="B41:G41">
      <formula1>$BG$6:$BG$42</formula1>
    </dataValidation>
    <dataValidation type="list" allowBlank="1" showInputMessage="1" showErrorMessage="1" sqref="I7:M18">
      <formula1>$BD$6:$BD$15</formula1>
    </dataValidation>
    <dataValidation type="list" allowBlank="1" showInputMessage="1" showErrorMessage="1" sqref="AN14:AR14">
      <formula1>$BE$6:$BE$206</formula1>
    </dataValidation>
    <dataValidation type="list" allowBlank="1" showInputMessage="1" showErrorMessage="1" sqref="H44:K44">
      <formula1>$BH$6:$BH$22</formula1>
    </dataValidation>
    <dataValidation type="list" allowBlank="1" showInputMessage="1" showErrorMessage="1" sqref="N44:Q44">
      <formula1>$BH$6:$BH$103</formula1>
    </dataValidation>
  </dataValidations>
  <printOptions horizontalCentered="1"/>
  <pageMargins left="0.86614173228346458" right="0.39370078740157483" top="0.47244094488188981" bottom="0.31496062992125984" header="0.39370078740157483" footer="0.27559055118110237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BP394"/>
  <sheetViews>
    <sheetView showGridLines="0" showZeros="0" view="pageBreakPreview" topLeftCell="A34" zoomScaleSheetLayoutView="100" workbookViewId="0">
      <selection activeCell="X50" sqref="X50:AB50"/>
    </sheetView>
  </sheetViews>
  <sheetFormatPr defaultRowHeight="13.5" x14ac:dyDescent="0.15"/>
  <cols>
    <col min="1" max="50" width="1.625" style="1" customWidth="1"/>
    <col min="51" max="51" width="5.5" style="1" bestFit="1" customWidth="1"/>
    <col min="52" max="52" width="4.375" style="1" customWidth="1"/>
    <col min="53" max="55" width="8.125" style="1" customWidth="1"/>
    <col min="56" max="56" width="5.375" style="1" customWidth="1"/>
    <col min="57" max="16384" width="9" style="1"/>
  </cols>
  <sheetData>
    <row r="1" spans="1:65" ht="14.25" customHeight="1" x14ac:dyDescent="0.15">
      <c r="A1" s="1" t="s">
        <v>300</v>
      </c>
      <c r="H1" s="353"/>
      <c r="I1" s="353"/>
      <c r="J1" s="353"/>
      <c r="K1" s="353"/>
      <c r="L1" s="353"/>
      <c r="M1" s="353"/>
      <c r="N1" s="353"/>
      <c r="O1" s="353"/>
      <c r="AM1" s="510" t="s">
        <v>296</v>
      </c>
      <c r="AN1" s="511"/>
      <c r="AO1" s="511"/>
      <c r="AP1" s="511"/>
      <c r="AQ1" s="511"/>
      <c r="AR1" s="511"/>
      <c r="AS1" s="511"/>
      <c r="AT1" s="511"/>
      <c r="AU1" s="511"/>
      <c r="AV1" s="511"/>
      <c r="AW1" s="511"/>
      <c r="AX1" s="511"/>
    </row>
    <row r="2" spans="1:65" ht="16.5" customHeight="1" thickBot="1" x14ac:dyDescent="0.2">
      <c r="A2" s="59" t="s">
        <v>295</v>
      </c>
      <c r="B2" s="59"/>
      <c r="C2" s="59"/>
      <c r="D2" s="59"/>
      <c r="E2" s="59"/>
      <c r="F2" s="59"/>
      <c r="G2" s="59"/>
      <c r="H2" s="509"/>
      <c r="I2" s="509"/>
      <c r="J2" s="509"/>
      <c r="K2" s="509"/>
      <c r="L2" s="509"/>
      <c r="M2" s="509"/>
      <c r="N2" s="509"/>
      <c r="O2" s="509"/>
      <c r="P2" s="59"/>
      <c r="Q2" s="59" t="s">
        <v>257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335">
        <v>20</v>
      </c>
      <c r="AH2" s="335"/>
      <c r="AI2" s="335"/>
      <c r="AJ2" s="59" t="s">
        <v>258</v>
      </c>
      <c r="AK2" s="59"/>
      <c r="AL2" s="59"/>
      <c r="AM2" s="512"/>
      <c r="AN2" s="512"/>
      <c r="AO2" s="512"/>
      <c r="AP2" s="512"/>
      <c r="AQ2" s="512"/>
      <c r="AR2" s="512"/>
      <c r="AS2" s="512"/>
      <c r="AT2" s="512"/>
      <c r="AU2" s="512"/>
      <c r="AV2" s="512"/>
      <c r="AW2" s="512"/>
      <c r="AX2" s="512"/>
      <c r="AY2" s="5"/>
      <c r="AZ2" s="3"/>
      <c r="BA2" s="3"/>
      <c r="BB2" s="3"/>
      <c r="BC2" s="3"/>
      <c r="BD2" s="3"/>
      <c r="BE2" s="3"/>
    </row>
    <row r="3" spans="1:65" ht="16.5" customHeight="1" x14ac:dyDescent="0.15">
      <c r="A3" s="336" t="s">
        <v>248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8"/>
      <c r="AY3" s="5"/>
      <c r="AZ3" s="3"/>
      <c r="BA3" s="3"/>
      <c r="BB3" s="3"/>
      <c r="BC3" s="3"/>
      <c r="BD3" s="3"/>
      <c r="BE3" s="3"/>
      <c r="BF3" s="3"/>
      <c r="BG3" s="3"/>
      <c r="BH3" s="3"/>
      <c r="BI3" s="3"/>
    </row>
    <row r="4" spans="1:65" ht="16.5" customHeight="1" x14ac:dyDescent="0.15">
      <c r="A4" s="339" t="s">
        <v>268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0"/>
      <c r="AA4" s="340"/>
      <c r="AB4" s="340"/>
      <c r="AC4" s="340"/>
      <c r="AD4" s="340"/>
      <c r="AE4" s="340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0"/>
      <c r="AR4" s="340"/>
      <c r="AS4" s="340"/>
      <c r="AT4" s="340"/>
      <c r="AU4" s="340"/>
      <c r="AV4" s="340"/>
      <c r="AW4" s="340"/>
      <c r="AX4" s="341"/>
      <c r="AY4" s="5"/>
      <c r="AZ4" s="3"/>
      <c r="BA4" s="3"/>
      <c r="BB4" s="3"/>
      <c r="BC4" s="3"/>
      <c r="BD4" s="3"/>
      <c r="BE4" s="3" t="s">
        <v>88</v>
      </c>
      <c r="BF4" s="3"/>
      <c r="BG4" s="3"/>
      <c r="BH4" s="3"/>
      <c r="BI4" s="3"/>
    </row>
    <row r="5" spans="1:65" ht="16.5" customHeight="1" thickBot="1" x14ac:dyDescent="0.2">
      <c r="A5" s="38" t="s">
        <v>65</v>
      </c>
      <c r="B5" s="64"/>
      <c r="C5" s="58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342">
        <f>AG2</f>
        <v>20</v>
      </c>
      <c r="V5" s="342"/>
      <c r="W5" s="342"/>
      <c r="X5" s="342"/>
      <c r="Y5" s="62" t="s">
        <v>66</v>
      </c>
      <c r="Z5" s="62"/>
      <c r="AA5" s="62" t="s">
        <v>67</v>
      </c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3"/>
      <c r="AY5" s="5"/>
      <c r="AZ5" s="3"/>
      <c r="BA5" s="3"/>
      <c r="BB5" s="3"/>
      <c r="BC5" s="3"/>
      <c r="BD5" s="86" t="s">
        <v>92</v>
      </c>
      <c r="BE5" s="85" t="s">
        <v>91</v>
      </c>
      <c r="BF5" s="84"/>
      <c r="BG5" s="75" t="s">
        <v>89</v>
      </c>
      <c r="BH5" s="85" t="s">
        <v>90</v>
      </c>
      <c r="BI5" s="3"/>
    </row>
    <row r="6" spans="1:65" ht="16.5" customHeight="1" thickBot="1" x14ac:dyDescent="0.2">
      <c r="A6" s="343" t="s">
        <v>0</v>
      </c>
      <c r="B6" s="344"/>
      <c r="C6" s="344"/>
      <c r="D6" s="344"/>
      <c r="E6" s="344"/>
      <c r="F6" s="344"/>
      <c r="G6" s="344"/>
      <c r="H6" s="345"/>
      <c r="I6" s="346" t="s">
        <v>81</v>
      </c>
      <c r="J6" s="346"/>
      <c r="K6" s="346"/>
      <c r="L6" s="346"/>
      <c r="M6" s="346"/>
      <c r="N6" s="347" t="s">
        <v>13</v>
      </c>
      <c r="O6" s="347"/>
      <c r="P6" s="347"/>
      <c r="Q6" s="347"/>
      <c r="R6" s="348"/>
      <c r="S6" s="348" t="s">
        <v>14</v>
      </c>
      <c r="T6" s="349"/>
      <c r="U6" s="349"/>
      <c r="V6" s="349"/>
      <c r="W6" s="350"/>
      <c r="X6" s="351" t="s">
        <v>69</v>
      </c>
      <c r="Y6" s="351"/>
      <c r="Z6" s="351"/>
      <c r="AA6" s="352"/>
      <c r="AB6" s="239" t="s">
        <v>71</v>
      </c>
      <c r="AC6" s="239"/>
      <c r="AD6" s="239"/>
      <c r="AE6" s="239"/>
      <c r="AF6" s="239"/>
      <c r="AG6" s="239"/>
      <c r="AH6" s="239"/>
      <c r="AI6" s="239"/>
      <c r="AJ6" s="58"/>
      <c r="AK6" s="6"/>
      <c r="AL6" s="239" t="s">
        <v>73</v>
      </c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7"/>
      <c r="AY6" s="5"/>
      <c r="AZ6" s="3"/>
      <c r="BA6" s="323" t="s">
        <v>74</v>
      </c>
      <c r="BB6" s="323"/>
      <c r="BC6" s="3"/>
      <c r="BD6" s="254"/>
      <c r="BE6" s="80"/>
      <c r="BF6" s="80"/>
      <c r="BG6" s="81"/>
      <c r="BH6" s="82"/>
      <c r="BI6" s="255"/>
      <c r="BJ6" s="79"/>
      <c r="BK6" s="79"/>
      <c r="BL6" s="79"/>
      <c r="BM6" s="79"/>
    </row>
    <row r="7" spans="1:65" ht="16.5" customHeight="1" x14ac:dyDescent="0.15">
      <c r="A7" s="324" t="s">
        <v>1</v>
      </c>
      <c r="B7" s="325"/>
      <c r="C7" s="325"/>
      <c r="D7" s="325"/>
      <c r="E7" s="325"/>
      <c r="F7" s="325"/>
      <c r="G7" s="325"/>
      <c r="H7" s="326"/>
      <c r="I7" s="528"/>
      <c r="J7" s="528"/>
      <c r="K7" s="528"/>
      <c r="L7" s="528"/>
      <c r="M7" s="528"/>
      <c r="N7" s="328">
        <v>12</v>
      </c>
      <c r="O7" s="328"/>
      <c r="P7" s="328"/>
      <c r="Q7" s="328"/>
      <c r="R7" s="329"/>
      <c r="S7" s="330">
        <f t="shared" ref="S7:S18" si="0">ROUND(I7*N7,0)</f>
        <v>0</v>
      </c>
      <c r="T7" s="330"/>
      <c r="U7" s="330"/>
      <c r="V7" s="330"/>
      <c r="W7" s="331"/>
      <c r="X7" s="332" t="s">
        <v>68</v>
      </c>
      <c r="Y7" s="333"/>
      <c r="Z7" s="333"/>
      <c r="AA7" s="334"/>
      <c r="AB7" s="239" t="s">
        <v>70</v>
      </c>
      <c r="AC7" s="239"/>
      <c r="AD7" s="239"/>
      <c r="AE7" s="239"/>
      <c r="AF7" s="239"/>
      <c r="AG7" s="239"/>
      <c r="AH7" s="239"/>
      <c r="AI7" s="239"/>
      <c r="AJ7" s="8"/>
      <c r="AK7" s="9"/>
      <c r="AL7" s="239" t="s">
        <v>72</v>
      </c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7"/>
      <c r="AY7" s="5"/>
      <c r="AZ7" s="3"/>
      <c r="BA7" s="277" t="s">
        <v>86</v>
      </c>
      <c r="BB7" s="277" t="s">
        <v>87</v>
      </c>
      <c r="BC7" s="3"/>
      <c r="BD7" s="282">
        <v>1</v>
      </c>
      <c r="BE7" s="283">
        <v>1</v>
      </c>
      <c r="BF7" s="283">
        <v>50</v>
      </c>
      <c r="BG7" s="293">
        <v>0.5</v>
      </c>
      <c r="BH7" s="283">
        <v>11</v>
      </c>
      <c r="BI7" s="256"/>
      <c r="BJ7" s="79"/>
      <c r="BK7" s="79"/>
      <c r="BL7" s="79"/>
      <c r="BM7" s="79"/>
    </row>
    <row r="8" spans="1:65" ht="16.5" customHeight="1" x14ac:dyDescent="0.15">
      <c r="A8" s="358" t="s">
        <v>2</v>
      </c>
      <c r="B8" s="359"/>
      <c r="C8" s="359"/>
      <c r="D8" s="359"/>
      <c r="E8" s="359"/>
      <c r="F8" s="359"/>
      <c r="G8" s="359"/>
      <c r="H8" s="360"/>
      <c r="I8" s="527"/>
      <c r="J8" s="527"/>
      <c r="K8" s="527"/>
      <c r="L8" s="527"/>
      <c r="M8" s="527"/>
      <c r="N8" s="362">
        <v>12</v>
      </c>
      <c r="O8" s="362"/>
      <c r="P8" s="362"/>
      <c r="Q8" s="362"/>
      <c r="R8" s="363"/>
      <c r="S8" s="364">
        <f t="shared" si="0"/>
        <v>0</v>
      </c>
      <c r="T8" s="364"/>
      <c r="U8" s="364"/>
      <c r="V8" s="364"/>
      <c r="W8" s="365"/>
      <c r="X8" s="10"/>
      <c r="Y8" s="367" t="str">
        <f>IF($I$19&gt;30,"計算不能です!!栓数を確認して下さい","")</f>
        <v/>
      </c>
      <c r="Z8" s="367"/>
      <c r="AA8" s="367"/>
      <c r="AB8" s="367"/>
      <c r="AC8" s="367"/>
      <c r="AD8" s="367"/>
      <c r="AE8" s="367"/>
      <c r="AF8" s="367"/>
      <c r="AG8" s="367"/>
      <c r="AH8" s="367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11"/>
      <c r="AY8" s="5"/>
      <c r="AZ8" s="3"/>
      <c r="BA8" s="278">
        <v>1</v>
      </c>
      <c r="BB8" s="279">
        <v>1</v>
      </c>
      <c r="BC8" s="3"/>
      <c r="BD8" s="282">
        <v>2</v>
      </c>
      <c r="BE8" s="283">
        <v>1.5</v>
      </c>
      <c r="BF8" s="283">
        <v>49.9</v>
      </c>
      <c r="BG8" s="293">
        <v>0.49</v>
      </c>
      <c r="BH8" s="283">
        <v>0.6</v>
      </c>
      <c r="BI8" s="256"/>
      <c r="BJ8" s="79"/>
      <c r="BK8" s="79"/>
      <c r="BL8" s="79"/>
      <c r="BM8" s="79"/>
    </row>
    <row r="9" spans="1:65" ht="16.5" customHeight="1" x14ac:dyDescent="0.15">
      <c r="A9" s="358" t="s">
        <v>3</v>
      </c>
      <c r="B9" s="359"/>
      <c r="C9" s="359"/>
      <c r="D9" s="359"/>
      <c r="E9" s="359"/>
      <c r="F9" s="359"/>
      <c r="G9" s="359"/>
      <c r="H9" s="360"/>
      <c r="I9" s="527"/>
      <c r="J9" s="527"/>
      <c r="K9" s="527"/>
      <c r="L9" s="527"/>
      <c r="M9" s="527"/>
      <c r="N9" s="362">
        <v>8</v>
      </c>
      <c r="O9" s="362"/>
      <c r="P9" s="362"/>
      <c r="Q9" s="362"/>
      <c r="R9" s="363"/>
      <c r="S9" s="364">
        <f t="shared" si="0"/>
        <v>0</v>
      </c>
      <c r="T9" s="364"/>
      <c r="U9" s="364"/>
      <c r="V9" s="364"/>
      <c r="W9" s="365"/>
      <c r="X9" s="238"/>
      <c r="Y9" s="368" t="s">
        <v>14</v>
      </c>
      <c r="Z9" s="368"/>
      <c r="AA9" s="368"/>
      <c r="AB9" s="368"/>
      <c r="AC9" s="368"/>
      <c r="AD9" s="368"/>
      <c r="AE9" s="356" t="s">
        <v>23</v>
      </c>
      <c r="AF9" s="370">
        <f>S19</f>
        <v>0</v>
      </c>
      <c r="AG9" s="370"/>
      <c r="AH9" s="370"/>
      <c r="AI9" s="370"/>
      <c r="AJ9" s="370"/>
      <c r="AK9" s="370"/>
      <c r="AL9" s="356" t="s">
        <v>23</v>
      </c>
      <c r="AM9" s="357">
        <f>IF(ISERROR(AF9/AF10)=TRUE,0,ROUND(AF9/AF10,1))</f>
        <v>0</v>
      </c>
      <c r="AN9" s="357"/>
      <c r="AO9" s="357"/>
      <c r="AP9" s="357"/>
      <c r="AQ9" s="357"/>
      <c r="AR9" s="356" t="s">
        <v>266</v>
      </c>
      <c r="AS9" s="356"/>
      <c r="AT9" s="356"/>
      <c r="AU9" s="356"/>
      <c r="AV9" s="229"/>
      <c r="AW9" s="229"/>
      <c r="AX9" s="7"/>
      <c r="AY9" s="5"/>
      <c r="AZ9" s="3"/>
      <c r="BA9" s="280">
        <v>2</v>
      </c>
      <c r="BB9" s="277">
        <v>1.4</v>
      </c>
      <c r="BC9" s="3"/>
      <c r="BD9" s="282">
        <v>3</v>
      </c>
      <c r="BE9" s="283">
        <v>2</v>
      </c>
      <c r="BF9" s="283">
        <v>49.8</v>
      </c>
      <c r="BG9" s="293">
        <v>0.48</v>
      </c>
      <c r="BH9" s="283">
        <v>0.7</v>
      </c>
      <c r="BI9" s="3"/>
    </row>
    <row r="10" spans="1:65" ht="16.5" customHeight="1" x14ac:dyDescent="0.15">
      <c r="A10" s="358" t="s">
        <v>4</v>
      </c>
      <c r="B10" s="359"/>
      <c r="C10" s="359"/>
      <c r="D10" s="359"/>
      <c r="E10" s="359"/>
      <c r="F10" s="359"/>
      <c r="G10" s="359"/>
      <c r="H10" s="360"/>
      <c r="I10" s="527"/>
      <c r="J10" s="527"/>
      <c r="K10" s="527"/>
      <c r="L10" s="527"/>
      <c r="M10" s="527"/>
      <c r="N10" s="362">
        <v>20</v>
      </c>
      <c r="O10" s="362"/>
      <c r="P10" s="362"/>
      <c r="Q10" s="362"/>
      <c r="R10" s="363"/>
      <c r="S10" s="364">
        <f t="shared" si="0"/>
        <v>0</v>
      </c>
      <c r="T10" s="364"/>
      <c r="U10" s="364"/>
      <c r="V10" s="364"/>
      <c r="W10" s="365"/>
      <c r="X10" s="238"/>
      <c r="Y10" s="366" t="s">
        <v>15</v>
      </c>
      <c r="Z10" s="366"/>
      <c r="AA10" s="366"/>
      <c r="AB10" s="366"/>
      <c r="AC10" s="366"/>
      <c r="AD10" s="366"/>
      <c r="AE10" s="356"/>
      <c r="AF10" s="369">
        <f>I19</f>
        <v>0</v>
      </c>
      <c r="AG10" s="369"/>
      <c r="AH10" s="369"/>
      <c r="AI10" s="369"/>
      <c r="AJ10" s="369"/>
      <c r="AK10" s="369"/>
      <c r="AL10" s="356"/>
      <c r="AM10" s="357"/>
      <c r="AN10" s="357"/>
      <c r="AO10" s="357"/>
      <c r="AP10" s="357"/>
      <c r="AQ10" s="357"/>
      <c r="AR10" s="356"/>
      <c r="AS10" s="356"/>
      <c r="AT10" s="356"/>
      <c r="AU10" s="356"/>
      <c r="AV10" s="229"/>
      <c r="AW10" s="229"/>
      <c r="AX10" s="7"/>
      <c r="AY10" s="5"/>
      <c r="AZ10" s="3"/>
      <c r="BA10" s="278">
        <v>3</v>
      </c>
      <c r="BB10" s="279">
        <v>1.7</v>
      </c>
      <c r="BC10" s="3"/>
      <c r="BD10" s="282">
        <v>4</v>
      </c>
      <c r="BE10" s="283">
        <v>2.5</v>
      </c>
      <c r="BF10" s="283">
        <v>49.699999999999996</v>
      </c>
      <c r="BG10" s="293">
        <v>0.47</v>
      </c>
      <c r="BH10" s="283">
        <v>0.8</v>
      </c>
      <c r="BI10" s="3"/>
    </row>
    <row r="11" spans="1:65" ht="16.5" customHeight="1" x14ac:dyDescent="0.15">
      <c r="A11" s="358" t="s">
        <v>5</v>
      </c>
      <c r="B11" s="359"/>
      <c r="C11" s="359"/>
      <c r="D11" s="359"/>
      <c r="E11" s="359"/>
      <c r="F11" s="359"/>
      <c r="G11" s="359"/>
      <c r="H11" s="360"/>
      <c r="I11" s="527"/>
      <c r="J11" s="527"/>
      <c r="K11" s="527"/>
      <c r="L11" s="527"/>
      <c r="M11" s="527"/>
      <c r="N11" s="362">
        <v>30</v>
      </c>
      <c r="O11" s="362"/>
      <c r="P11" s="362"/>
      <c r="Q11" s="362"/>
      <c r="R11" s="363"/>
      <c r="S11" s="364">
        <f t="shared" si="0"/>
        <v>0</v>
      </c>
      <c r="T11" s="364"/>
      <c r="U11" s="364"/>
      <c r="V11" s="364"/>
      <c r="W11" s="365"/>
      <c r="X11" s="238"/>
      <c r="Y11" s="239"/>
      <c r="Z11" s="239"/>
      <c r="AA11" s="239"/>
      <c r="AB11" s="239"/>
      <c r="AC11" s="239"/>
      <c r="AD11" s="239"/>
      <c r="AE11" s="239"/>
      <c r="AF11" s="12"/>
      <c r="AG11" s="12"/>
      <c r="AH11" s="12"/>
      <c r="AI11" s="12"/>
      <c r="AJ11" s="12"/>
      <c r="AK11" s="12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7"/>
      <c r="AY11" s="5"/>
      <c r="AZ11" s="3"/>
      <c r="BA11" s="280">
        <v>4</v>
      </c>
      <c r="BB11" s="277">
        <v>2</v>
      </c>
      <c r="BC11" s="3"/>
      <c r="BD11" s="282">
        <v>5</v>
      </c>
      <c r="BE11" s="283">
        <v>3</v>
      </c>
      <c r="BF11" s="283">
        <v>49.599999999999994</v>
      </c>
      <c r="BG11" s="293">
        <v>0.46</v>
      </c>
      <c r="BH11" s="283">
        <v>0.9</v>
      </c>
      <c r="BI11" s="3"/>
    </row>
    <row r="12" spans="1:65" ht="16.5" customHeight="1" x14ac:dyDescent="0.15">
      <c r="A12" s="358" t="s">
        <v>6</v>
      </c>
      <c r="B12" s="359"/>
      <c r="C12" s="359"/>
      <c r="D12" s="359"/>
      <c r="E12" s="359"/>
      <c r="F12" s="359"/>
      <c r="G12" s="359"/>
      <c r="H12" s="360"/>
      <c r="I12" s="527"/>
      <c r="J12" s="527"/>
      <c r="K12" s="527"/>
      <c r="L12" s="527"/>
      <c r="M12" s="527"/>
      <c r="N12" s="362">
        <v>12</v>
      </c>
      <c r="O12" s="362"/>
      <c r="P12" s="362"/>
      <c r="Q12" s="362"/>
      <c r="R12" s="363"/>
      <c r="S12" s="364">
        <f t="shared" si="0"/>
        <v>0</v>
      </c>
      <c r="T12" s="364"/>
      <c r="U12" s="364"/>
      <c r="V12" s="364"/>
      <c r="W12" s="365"/>
      <c r="X12" s="238"/>
      <c r="Y12" s="239" t="s">
        <v>17</v>
      </c>
      <c r="Z12" s="239"/>
      <c r="AA12" s="239"/>
      <c r="AB12" s="239"/>
      <c r="AC12" s="239"/>
      <c r="AD12" s="239"/>
      <c r="AE12" s="239"/>
      <c r="AF12" s="239"/>
      <c r="AG12" s="239"/>
      <c r="AH12" s="239"/>
      <c r="AI12" s="239"/>
      <c r="AJ12" s="239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239"/>
      <c r="AX12" s="7"/>
      <c r="AY12" s="5"/>
      <c r="AZ12" s="3"/>
      <c r="BA12" s="278">
        <v>5</v>
      </c>
      <c r="BB12" s="279">
        <v>2.2000000000000002</v>
      </c>
      <c r="BC12" s="3"/>
      <c r="BD12" s="282">
        <v>6</v>
      </c>
      <c r="BE12" s="283">
        <v>3.5</v>
      </c>
      <c r="BF12" s="283">
        <v>49.499999999999993</v>
      </c>
      <c r="BG12" s="293">
        <v>0.45</v>
      </c>
      <c r="BH12" s="283">
        <v>1</v>
      </c>
      <c r="BI12" s="3"/>
    </row>
    <row r="13" spans="1:65" ht="16.5" customHeight="1" x14ac:dyDescent="0.15">
      <c r="A13" s="358" t="s">
        <v>7</v>
      </c>
      <c r="B13" s="359"/>
      <c r="C13" s="359"/>
      <c r="D13" s="359"/>
      <c r="E13" s="359"/>
      <c r="F13" s="359"/>
      <c r="G13" s="359"/>
      <c r="H13" s="360"/>
      <c r="I13" s="527"/>
      <c r="J13" s="527"/>
      <c r="K13" s="527"/>
      <c r="L13" s="527"/>
      <c r="M13" s="527"/>
      <c r="N13" s="362">
        <v>15</v>
      </c>
      <c r="O13" s="362"/>
      <c r="P13" s="362"/>
      <c r="Q13" s="362"/>
      <c r="R13" s="363"/>
      <c r="S13" s="364">
        <f t="shared" si="0"/>
        <v>0</v>
      </c>
      <c r="T13" s="364"/>
      <c r="U13" s="364"/>
      <c r="V13" s="364"/>
      <c r="W13" s="365"/>
      <c r="X13" s="238"/>
      <c r="Y13" s="372">
        <f>AM9</f>
        <v>0</v>
      </c>
      <c r="Z13" s="372"/>
      <c r="AA13" s="372"/>
      <c r="AB13" s="372"/>
      <c r="AC13" s="372"/>
      <c r="AD13" s="373" t="s">
        <v>271</v>
      </c>
      <c r="AE13" s="373"/>
      <c r="AF13" s="373"/>
      <c r="AG13" s="373"/>
      <c r="AH13" s="374" t="e">
        <f>LOOKUP(I19,BA8:BA22,BB8:BB22)</f>
        <v>#N/A</v>
      </c>
      <c r="AI13" s="374"/>
      <c r="AJ13" s="374"/>
      <c r="AK13" s="374"/>
      <c r="AL13" s="374"/>
      <c r="AM13" s="239" t="s">
        <v>23</v>
      </c>
      <c r="AN13" s="357" t="e">
        <f>ROUND(Y13*AH13,1)</f>
        <v>#N/A</v>
      </c>
      <c r="AO13" s="357"/>
      <c r="AP13" s="357"/>
      <c r="AQ13" s="357"/>
      <c r="AR13" s="357"/>
      <c r="AS13" s="276" t="s">
        <v>266</v>
      </c>
      <c r="AT13" s="239"/>
      <c r="AU13" s="239"/>
      <c r="AV13" s="239"/>
      <c r="AW13" s="239"/>
      <c r="AX13" s="7"/>
      <c r="AY13" s="5"/>
      <c r="AZ13" s="3"/>
      <c r="BA13" s="280">
        <v>6</v>
      </c>
      <c r="BB13" s="277">
        <v>2.4</v>
      </c>
      <c r="BC13" s="3"/>
      <c r="BD13" s="282">
        <v>7</v>
      </c>
      <c r="BE13" s="283">
        <v>4</v>
      </c>
      <c r="BF13" s="283">
        <v>49.399999999999991</v>
      </c>
      <c r="BG13" s="293">
        <v>0.44</v>
      </c>
      <c r="BH13" s="283">
        <v>1.1000000000000001</v>
      </c>
      <c r="BI13" s="3"/>
    </row>
    <row r="14" spans="1:65" ht="16.5" customHeight="1" x14ac:dyDescent="0.15">
      <c r="A14" s="358" t="s">
        <v>8</v>
      </c>
      <c r="B14" s="359"/>
      <c r="C14" s="359"/>
      <c r="D14" s="359"/>
      <c r="E14" s="359"/>
      <c r="F14" s="359"/>
      <c r="G14" s="359"/>
      <c r="H14" s="360"/>
      <c r="I14" s="527"/>
      <c r="J14" s="527"/>
      <c r="K14" s="527"/>
      <c r="L14" s="527"/>
      <c r="M14" s="527"/>
      <c r="N14" s="362">
        <v>5</v>
      </c>
      <c r="O14" s="362"/>
      <c r="P14" s="362"/>
      <c r="Q14" s="362"/>
      <c r="R14" s="363"/>
      <c r="S14" s="364">
        <f t="shared" si="0"/>
        <v>0</v>
      </c>
      <c r="T14" s="364"/>
      <c r="U14" s="364"/>
      <c r="V14" s="364"/>
      <c r="W14" s="365"/>
      <c r="X14" s="238"/>
      <c r="Y14" s="14" t="s">
        <v>18</v>
      </c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371"/>
      <c r="AO14" s="371"/>
      <c r="AP14" s="371"/>
      <c r="AQ14" s="371"/>
      <c r="AR14" s="371"/>
      <c r="AS14" s="14" t="s">
        <v>266</v>
      </c>
      <c r="AT14" s="14"/>
      <c r="AU14" s="14"/>
      <c r="AV14" s="14"/>
      <c r="AW14" s="14"/>
      <c r="AX14" s="7"/>
      <c r="AY14" s="5"/>
      <c r="AZ14" s="3"/>
      <c r="BA14" s="278">
        <v>7</v>
      </c>
      <c r="BB14" s="279">
        <v>2.6</v>
      </c>
      <c r="BC14" s="3"/>
      <c r="BD14" s="282">
        <v>8</v>
      </c>
      <c r="BE14" s="283">
        <v>4.5</v>
      </c>
      <c r="BF14" s="283">
        <v>49.29999999999999</v>
      </c>
      <c r="BG14" s="293">
        <v>0.43</v>
      </c>
      <c r="BH14" s="283">
        <v>1.2</v>
      </c>
      <c r="BI14" s="3"/>
    </row>
    <row r="15" spans="1:65" ht="16.5" customHeight="1" x14ac:dyDescent="0.15">
      <c r="A15" s="375" t="s">
        <v>9</v>
      </c>
      <c r="B15" s="376"/>
      <c r="C15" s="376"/>
      <c r="D15" s="376"/>
      <c r="E15" s="376"/>
      <c r="F15" s="376"/>
      <c r="G15" s="376"/>
      <c r="H15" s="376"/>
      <c r="I15" s="527"/>
      <c r="J15" s="527"/>
      <c r="K15" s="527"/>
      <c r="L15" s="527"/>
      <c r="M15" s="527"/>
      <c r="N15" s="362">
        <v>15</v>
      </c>
      <c r="O15" s="362"/>
      <c r="P15" s="362"/>
      <c r="Q15" s="362"/>
      <c r="R15" s="363"/>
      <c r="S15" s="364">
        <f t="shared" si="0"/>
        <v>0</v>
      </c>
      <c r="T15" s="364"/>
      <c r="U15" s="364"/>
      <c r="V15" s="364"/>
      <c r="W15" s="365"/>
      <c r="X15" s="238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29"/>
      <c r="AO15" s="229"/>
      <c r="AP15" s="229"/>
      <c r="AQ15" s="229"/>
      <c r="AR15" s="229"/>
      <c r="AS15" s="239"/>
      <c r="AT15" s="239"/>
      <c r="AU15" s="239"/>
      <c r="AV15" s="239"/>
      <c r="AW15" s="239"/>
      <c r="AX15" s="7"/>
      <c r="AY15" s="5"/>
      <c r="AZ15" s="3"/>
      <c r="BA15" s="280">
        <v>8</v>
      </c>
      <c r="BB15" s="281">
        <v>2.8</v>
      </c>
      <c r="BC15" s="3"/>
      <c r="BD15" s="282">
        <v>9</v>
      </c>
      <c r="BE15" s="283">
        <v>5</v>
      </c>
      <c r="BF15" s="283">
        <v>49.199999999999989</v>
      </c>
      <c r="BG15" s="293">
        <v>0.42</v>
      </c>
      <c r="BH15" s="283">
        <v>1.3</v>
      </c>
      <c r="BI15" s="3"/>
    </row>
    <row r="16" spans="1:65" ht="16.5" customHeight="1" x14ac:dyDescent="0.15">
      <c r="A16" s="358" t="s">
        <v>10</v>
      </c>
      <c r="B16" s="359"/>
      <c r="C16" s="359"/>
      <c r="D16" s="359"/>
      <c r="E16" s="359"/>
      <c r="F16" s="359"/>
      <c r="G16" s="359"/>
      <c r="H16" s="360"/>
      <c r="I16" s="527"/>
      <c r="J16" s="527"/>
      <c r="K16" s="527"/>
      <c r="L16" s="527"/>
      <c r="M16" s="527"/>
      <c r="N16" s="362">
        <v>22</v>
      </c>
      <c r="O16" s="362"/>
      <c r="P16" s="362"/>
      <c r="Q16" s="362"/>
      <c r="R16" s="363"/>
      <c r="S16" s="364">
        <f t="shared" si="0"/>
        <v>0</v>
      </c>
      <c r="T16" s="364"/>
      <c r="U16" s="364"/>
      <c r="V16" s="364"/>
      <c r="W16" s="365"/>
      <c r="X16" s="238"/>
      <c r="Y16" s="239" t="s">
        <v>19</v>
      </c>
      <c r="Z16" s="239"/>
      <c r="AA16" s="239"/>
      <c r="AB16" s="239"/>
      <c r="AC16" s="239"/>
      <c r="AD16" s="239"/>
      <c r="AE16" s="239"/>
      <c r="AF16" s="239"/>
      <c r="AG16" s="239"/>
      <c r="AH16" s="239"/>
      <c r="AI16" s="239"/>
      <c r="AJ16" s="239"/>
      <c r="AK16" s="239"/>
      <c r="AL16" s="239"/>
      <c r="AM16" s="239"/>
      <c r="AN16" s="239"/>
      <c r="AO16" s="239"/>
      <c r="AP16" s="239"/>
      <c r="AQ16" s="239"/>
      <c r="AR16" s="239"/>
      <c r="AS16" s="239"/>
      <c r="AT16" s="239"/>
      <c r="AU16" s="239"/>
      <c r="AV16" s="239"/>
      <c r="AW16" s="239"/>
      <c r="AX16" s="7"/>
      <c r="AY16" s="5"/>
      <c r="AZ16" s="3"/>
      <c r="BA16" s="278">
        <v>9</v>
      </c>
      <c r="BB16" s="281">
        <v>2.9</v>
      </c>
      <c r="BC16" s="3"/>
      <c r="BD16" s="282">
        <v>10</v>
      </c>
      <c r="BE16" s="283">
        <v>5.5</v>
      </c>
      <c r="BF16" s="283">
        <v>49.099999999999987</v>
      </c>
      <c r="BG16" s="293">
        <v>0.41</v>
      </c>
      <c r="BH16" s="283">
        <v>1.4</v>
      </c>
      <c r="BI16" s="3"/>
    </row>
    <row r="17" spans="1:63" ht="16.5" customHeight="1" x14ac:dyDescent="0.15">
      <c r="A17" s="375" t="s">
        <v>63</v>
      </c>
      <c r="B17" s="376"/>
      <c r="C17" s="376"/>
      <c r="D17" s="376"/>
      <c r="E17" s="376"/>
      <c r="F17" s="376"/>
      <c r="G17" s="376"/>
      <c r="H17" s="376"/>
      <c r="I17" s="527"/>
      <c r="J17" s="527"/>
      <c r="K17" s="527"/>
      <c r="L17" s="527"/>
      <c r="M17" s="527"/>
      <c r="N17" s="362">
        <v>14</v>
      </c>
      <c r="O17" s="362"/>
      <c r="P17" s="362"/>
      <c r="Q17" s="362"/>
      <c r="R17" s="363"/>
      <c r="S17" s="364">
        <f t="shared" si="0"/>
        <v>0</v>
      </c>
      <c r="T17" s="364"/>
      <c r="U17" s="364"/>
      <c r="V17" s="364"/>
      <c r="W17" s="365"/>
      <c r="X17" s="238"/>
      <c r="Y17" s="239" t="s">
        <v>23</v>
      </c>
      <c r="Z17" s="372" t="e">
        <f>AN13</f>
        <v>#N/A</v>
      </c>
      <c r="AA17" s="372"/>
      <c r="AB17" s="372"/>
      <c r="AC17" s="372"/>
      <c r="AD17" s="372"/>
      <c r="AE17" s="69" t="s">
        <v>24</v>
      </c>
      <c r="AF17" s="386">
        <f>AN14</f>
        <v>0</v>
      </c>
      <c r="AG17" s="386"/>
      <c r="AH17" s="386"/>
      <c r="AI17" s="386"/>
      <c r="AJ17" s="386"/>
      <c r="AK17" s="69" t="s">
        <v>23</v>
      </c>
      <c r="AL17" s="377" t="e">
        <f>ROUND(Z17+AF17,1)</f>
        <v>#N/A</v>
      </c>
      <c r="AM17" s="377"/>
      <c r="AN17" s="377"/>
      <c r="AO17" s="377"/>
      <c r="AP17" s="377"/>
      <c r="AQ17" s="377"/>
      <c r="AR17" s="377"/>
      <c r="AS17" s="69" t="s">
        <v>266</v>
      </c>
      <c r="AT17" s="239"/>
      <c r="AU17" s="239"/>
      <c r="AV17" s="239"/>
      <c r="AW17" s="239"/>
      <c r="AX17" s="7"/>
      <c r="AY17" s="5"/>
      <c r="AZ17" s="3"/>
      <c r="BA17" s="280">
        <v>10</v>
      </c>
      <c r="BB17" s="281">
        <v>3</v>
      </c>
      <c r="BC17" s="3"/>
      <c r="BD17" s="282">
        <v>15</v>
      </c>
      <c r="BE17" s="283">
        <v>6</v>
      </c>
      <c r="BF17" s="283">
        <v>48.999999999999986</v>
      </c>
      <c r="BG17" s="293">
        <v>0.4</v>
      </c>
      <c r="BH17" s="283">
        <v>1.5</v>
      </c>
      <c r="BI17" s="3"/>
    </row>
    <row r="18" spans="1:63" ht="16.5" customHeight="1" x14ac:dyDescent="0.15">
      <c r="A18" s="378" t="s">
        <v>11</v>
      </c>
      <c r="B18" s="379"/>
      <c r="C18" s="379"/>
      <c r="D18" s="379"/>
      <c r="E18" s="379"/>
      <c r="F18" s="379"/>
      <c r="G18" s="379"/>
      <c r="H18" s="380"/>
      <c r="I18" s="381"/>
      <c r="J18" s="381"/>
      <c r="K18" s="381"/>
      <c r="L18" s="381"/>
      <c r="M18" s="381"/>
      <c r="N18" s="382"/>
      <c r="O18" s="383"/>
      <c r="P18" s="383"/>
      <c r="Q18" s="383"/>
      <c r="R18" s="383"/>
      <c r="S18" s="384">
        <f t="shared" si="0"/>
        <v>0</v>
      </c>
      <c r="T18" s="384"/>
      <c r="U18" s="384"/>
      <c r="V18" s="384"/>
      <c r="W18" s="384"/>
      <c r="X18" s="238"/>
      <c r="Y18" s="23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 t="s">
        <v>23</v>
      </c>
      <c r="AL18" s="385" t="e">
        <f>ROUND(AL17/60000,6)</f>
        <v>#N/A</v>
      </c>
      <c r="AM18" s="385"/>
      <c r="AN18" s="385"/>
      <c r="AO18" s="385"/>
      <c r="AP18" s="385"/>
      <c r="AQ18" s="385"/>
      <c r="AR18" s="385"/>
      <c r="AS18" s="276" t="s">
        <v>267</v>
      </c>
      <c r="AT18" s="239"/>
      <c r="AU18" s="239"/>
      <c r="AV18" s="239"/>
      <c r="AW18" s="239"/>
      <c r="AX18" s="7"/>
      <c r="AY18" s="5"/>
      <c r="AZ18" s="3"/>
      <c r="BA18" s="278">
        <v>11</v>
      </c>
      <c r="BB18" s="281">
        <v>3.1</v>
      </c>
      <c r="BC18" s="3"/>
      <c r="BD18" s="282">
        <v>20</v>
      </c>
      <c r="BE18" s="283">
        <v>6.5</v>
      </c>
      <c r="BF18" s="283">
        <v>48.899999999999984</v>
      </c>
      <c r="BG18" s="293">
        <v>0.39</v>
      </c>
      <c r="BH18" s="283">
        <v>1.6</v>
      </c>
      <c r="BI18" s="3"/>
    </row>
    <row r="19" spans="1:63" ht="16.5" customHeight="1" x14ac:dyDescent="0.15">
      <c r="A19" s="393" t="s">
        <v>12</v>
      </c>
      <c r="B19" s="394"/>
      <c r="C19" s="394"/>
      <c r="D19" s="394"/>
      <c r="E19" s="394"/>
      <c r="F19" s="394"/>
      <c r="G19" s="394"/>
      <c r="H19" s="395"/>
      <c r="I19" s="396">
        <f>SUM(I7:M18)</f>
        <v>0</v>
      </c>
      <c r="J19" s="397"/>
      <c r="K19" s="397"/>
      <c r="L19" s="398" t="s">
        <v>16</v>
      </c>
      <c r="M19" s="399"/>
      <c r="N19" s="400"/>
      <c r="O19" s="401"/>
      <c r="P19" s="401"/>
      <c r="Q19" s="401"/>
      <c r="R19" s="401"/>
      <c r="S19" s="396">
        <f>SUM(S7:W18)</f>
        <v>0</v>
      </c>
      <c r="T19" s="397"/>
      <c r="U19" s="397"/>
      <c r="V19" s="398" t="s">
        <v>266</v>
      </c>
      <c r="W19" s="398"/>
      <c r="X19" s="15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16"/>
      <c r="AY19" s="5"/>
      <c r="AZ19" s="3"/>
      <c r="BA19" s="280">
        <v>12</v>
      </c>
      <c r="BB19" s="281">
        <v>3.2</v>
      </c>
      <c r="BC19" s="3"/>
      <c r="BD19" s="282">
        <v>25</v>
      </c>
      <c r="BE19" s="283">
        <v>7</v>
      </c>
      <c r="BF19" s="283">
        <v>48.799999999999983</v>
      </c>
      <c r="BG19" s="293">
        <v>0.38</v>
      </c>
      <c r="BH19" s="283">
        <v>1.7</v>
      </c>
      <c r="BI19" s="3"/>
    </row>
    <row r="20" spans="1:63" ht="16.5" customHeight="1" x14ac:dyDescent="0.15">
      <c r="A20" s="389" t="s">
        <v>21</v>
      </c>
      <c r="B20" s="356"/>
      <c r="C20" s="356"/>
      <c r="D20" s="356"/>
      <c r="E20" s="356"/>
      <c r="F20" s="356"/>
      <c r="G20" s="356"/>
      <c r="H20" s="390"/>
      <c r="I20" s="356" t="s">
        <v>273</v>
      </c>
      <c r="J20" s="356"/>
      <c r="K20" s="356"/>
      <c r="L20" s="356"/>
      <c r="M20" s="356"/>
      <c r="N20" s="356"/>
      <c r="O20" s="356"/>
      <c r="P20" s="356"/>
      <c r="Q20" s="356"/>
      <c r="R20" s="356"/>
      <c r="S20" s="356"/>
      <c r="T20" s="356"/>
      <c r="U20" s="356"/>
      <c r="V20" s="356"/>
      <c r="W20" s="390"/>
      <c r="X20" s="10"/>
      <c r="Y20" s="351" t="s">
        <v>22</v>
      </c>
      <c r="Z20" s="351"/>
      <c r="AA20" s="351"/>
      <c r="AB20" s="351"/>
      <c r="AC20" s="351"/>
      <c r="AD20" s="351"/>
      <c r="AE20" s="351"/>
      <c r="AF20" s="6"/>
      <c r="AG20" s="10"/>
      <c r="AH20" s="387">
        <v>13</v>
      </c>
      <c r="AI20" s="387"/>
      <c r="AJ20" s="387"/>
      <c r="AK20" s="231"/>
      <c r="AL20" s="231"/>
      <c r="AM20" s="388">
        <v>1.327E-4</v>
      </c>
      <c r="AN20" s="388"/>
      <c r="AO20" s="388"/>
      <c r="AP20" s="388"/>
      <c r="AQ20" s="388"/>
      <c r="AR20" s="388"/>
      <c r="AS20" s="388"/>
      <c r="AT20" s="58" t="s">
        <v>269</v>
      </c>
      <c r="AU20" s="58"/>
      <c r="AV20" s="58"/>
      <c r="AW20" s="58"/>
      <c r="AX20" s="11"/>
      <c r="AY20" s="5"/>
      <c r="AZ20" s="3"/>
      <c r="BA20" s="278">
        <v>13</v>
      </c>
      <c r="BB20" s="281">
        <v>3.3</v>
      </c>
      <c r="BC20" s="3"/>
      <c r="BD20" s="282">
        <v>30</v>
      </c>
      <c r="BE20" s="283">
        <v>7.5</v>
      </c>
      <c r="BF20" s="283">
        <v>48.699999999999982</v>
      </c>
      <c r="BG20" s="293">
        <v>0.37</v>
      </c>
      <c r="BH20" s="283">
        <v>1.8</v>
      </c>
      <c r="BI20" s="3"/>
    </row>
    <row r="21" spans="1:63" ht="16.5" customHeight="1" thickBot="1" x14ac:dyDescent="0.2">
      <c r="A21" s="389" t="s">
        <v>20</v>
      </c>
      <c r="B21" s="356"/>
      <c r="C21" s="356"/>
      <c r="D21" s="356"/>
      <c r="E21" s="356"/>
      <c r="F21" s="356"/>
      <c r="G21" s="356"/>
      <c r="H21" s="390"/>
      <c r="I21" s="356" t="s">
        <v>274</v>
      </c>
      <c r="J21" s="356"/>
      <c r="K21" s="356"/>
      <c r="L21" s="356"/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90"/>
      <c r="X21" s="238"/>
      <c r="Y21" s="356" t="s">
        <v>29</v>
      </c>
      <c r="Z21" s="356"/>
      <c r="AA21" s="356"/>
      <c r="AB21" s="356"/>
      <c r="AC21" s="356"/>
      <c r="AD21" s="356"/>
      <c r="AE21" s="356"/>
      <c r="AF21" s="17"/>
      <c r="AG21" s="238"/>
      <c r="AH21" s="391">
        <v>20</v>
      </c>
      <c r="AI21" s="391"/>
      <c r="AJ21" s="391"/>
      <c r="AK21" s="18"/>
      <c r="AL21" s="18"/>
      <c r="AM21" s="392">
        <v>3.1399999999999999E-4</v>
      </c>
      <c r="AN21" s="392"/>
      <c r="AO21" s="392"/>
      <c r="AP21" s="392"/>
      <c r="AQ21" s="392"/>
      <c r="AR21" s="392"/>
      <c r="AS21" s="392"/>
      <c r="AT21" s="276" t="s">
        <v>269</v>
      </c>
      <c r="AU21" s="239"/>
      <c r="AV21" s="239"/>
      <c r="AW21" s="239"/>
      <c r="AX21" s="7"/>
      <c r="AY21" s="5"/>
      <c r="AZ21" s="3"/>
      <c r="BA21" s="280">
        <v>14</v>
      </c>
      <c r="BB21" s="281">
        <v>3.4</v>
      </c>
      <c r="BC21" s="3"/>
      <c r="BD21" s="282">
        <v>35</v>
      </c>
      <c r="BE21" s="283">
        <v>8</v>
      </c>
      <c r="BF21" s="283">
        <v>48.59999999999998</v>
      </c>
      <c r="BG21" s="293">
        <v>0.36</v>
      </c>
      <c r="BH21" s="283">
        <v>1.9</v>
      </c>
      <c r="BI21" s="3"/>
    </row>
    <row r="22" spans="1:63" ht="21" customHeight="1" x14ac:dyDescent="0.1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73" t="s">
        <v>85</v>
      </c>
      <c r="U22" s="525"/>
      <c r="V22" s="525"/>
      <c r="W22" s="525"/>
      <c r="X22" s="525"/>
      <c r="Y22" s="525"/>
      <c r="Z22" s="525"/>
      <c r="AA22" s="525"/>
      <c r="AB22" s="20" t="s">
        <v>32</v>
      </c>
      <c r="AC22" s="20"/>
      <c r="AD22" s="426">
        <f>AT25</f>
        <v>15.6</v>
      </c>
      <c r="AE22" s="426"/>
      <c r="AF22" s="426"/>
      <c r="AG22" s="426"/>
      <c r="AH22" s="426"/>
      <c r="AI22" s="21" t="s">
        <v>31</v>
      </c>
      <c r="AJ22" s="21"/>
      <c r="AK22" s="427">
        <f>ROUND(U22+AD22,1)</f>
        <v>15.6</v>
      </c>
      <c r="AL22" s="427"/>
      <c r="AM22" s="427"/>
      <c r="AN22" s="427"/>
      <c r="AO22" s="427"/>
      <c r="AP22" s="427"/>
      <c r="AQ22" s="427"/>
      <c r="AR22" s="427"/>
      <c r="AS22" s="22" t="s">
        <v>32</v>
      </c>
      <c r="AT22" s="20"/>
      <c r="AU22" s="20"/>
      <c r="AV22" s="20"/>
      <c r="AW22" s="20"/>
      <c r="AX22" s="23"/>
      <c r="AY22" s="5"/>
      <c r="AZ22" s="3"/>
      <c r="BA22" s="278">
        <v>15</v>
      </c>
      <c r="BB22" s="281">
        <v>3.5</v>
      </c>
      <c r="BC22" s="3"/>
      <c r="BD22" s="282">
        <v>40</v>
      </c>
      <c r="BE22" s="283">
        <v>8.5</v>
      </c>
      <c r="BF22" s="283">
        <v>48.499999999999979</v>
      </c>
      <c r="BG22" s="293">
        <v>0.35</v>
      </c>
      <c r="BH22" s="283">
        <v>2</v>
      </c>
      <c r="BI22" s="3"/>
    </row>
    <row r="23" spans="1:63" ht="16.5" customHeight="1" x14ac:dyDescent="0.15">
      <c r="A23" s="402" t="s">
        <v>76</v>
      </c>
      <c r="B23" s="403"/>
      <c r="C23" s="403"/>
      <c r="D23" s="403"/>
      <c r="E23" s="403"/>
      <c r="F23" s="403"/>
      <c r="G23" s="403"/>
      <c r="H23" s="404"/>
      <c r="I23" s="408" t="s">
        <v>25</v>
      </c>
      <c r="J23" s="409"/>
      <c r="K23" s="409"/>
      <c r="L23" s="409"/>
      <c r="M23" s="410">
        <f>AS28</f>
        <v>2</v>
      </c>
      <c r="N23" s="410"/>
      <c r="O23" s="410"/>
      <c r="P23" s="232" t="s">
        <v>33</v>
      </c>
      <c r="Q23" s="524"/>
      <c r="R23" s="524"/>
      <c r="S23" s="239" t="s">
        <v>23</v>
      </c>
      <c r="T23" s="412">
        <f>ROUND(M23*Q23,1)</f>
        <v>0</v>
      </c>
      <c r="U23" s="412"/>
      <c r="V23" s="413"/>
      <c r="W23" s="414" t="s">
        <v>34</v>
      </c>
      <c r="X23" s="414"/>
      <c r="Y23" s="414"/>
      <c r="Z23" s="414"/>
      <c r="AA23" s="410">
        <f>AS31</f>
        <v>1</v>
      </c>
      <c r="AB23" s="410"/>
      <c r="AC23" s="410"/>
      <c r="AD23" s="322" t="s">
        <v>33</v>
      </c>
      <c r="AE23" s="524">
        <v>7</v>
      </c>
      <c r="AF23" s="524"/>
      <c r="AG23" s="239" t="s">
        <v>23</v>
      </c>
      <c r="AH23" s="412">
        <f>ROUND(AA23*AE23,1)</f>
        <v>7</v>
      </c>
      <c r="AI23" s="412"/>
      <c r="AJ23" s="413"/>
      <c r="AK23" s="414" t="s">
        <v>35</v>
      </c>
      <c r="AL23" s="414"/>
      <c r="AM23" s="414"/>
      <c r="AN23" s="414"/>
      <c r="AO23" s="410">
        <f>AS34</f>
        <v>8</v>
      </c>
      <c r="AP23" s="410"/>
      <c r="AQ23" s="410"/>
      <c r="AR23" s="232" t="s">
        <v>33</v>
      </c>
      <c r="AS23" s="524">
        <v>1</v>
      </c>
      <c r="AT23" s="524"/>
      <c r="AU23" s="239" t="s">
        <v>23</v>
      </c>
      <c r="AV23" s="412">
        <f>ROUND(AO23*AS23,1)</f>
        <v>8</v>
      </c>
      <c r="AW23" s="412"/>
      <c r="AX23" s="424"/>
      <c r="AY23" s="5"/>
      <c r="AZ23" s="3"/>
      <c r="BA23" s="3"/>
      <c r="BB23" s="3"/>
      <c r="BC23" s="3"/>
      <c r="BD23" s="282">
        <v>50</v>
      </c>
      <c r="BE23" s="283">
        <v>9</v>
      </c>
      <c r="BF23" s="283">
        <v>48.399999999999977</v>
      </c>
      <c r="BG23" s="293">
        <v>0.34</v>
      </c>
      <c r="BH23" s="283">
        <v>2.1</v>
      </c>
      <c r="BI23" s="3"/>
    </row>
    <row r="24" spans="1:63" ht="16.5" customHeight="1" x14ac:dyDescent="0.15">
      <c r="A24" s="389"/>
      <c r="B24" s="356"/>
      <c r="C24" s="356"/>
      <c r="D24" s="356"/>
      <c r="E24" s="356"/>
      <c r="F24" s="356"/>
      <c r="G24" s="356"/>
      <c r="H24" s="405"/>
      <c r="I24" s="421" t="s">
        <v>26</v>
      </c>
      <c r="J24" s="373"/>
      <c r="K24" s="373"/>
      <c r="L24" s="373"/>
      <c r="M24" s="422">
        <f>AS29</f>
        <v>8</v>
      </c>
      <c r="N24" s="422"/>
      <c r="O24" s="422"/>
      <c r="P24" s="230" t="s">
        <v>33</v>
      </c>
      <c r="Q24" s="526"/>
      <c r="R24" s="526"/>
      <c r="S24" s="239" t="s">
        <v>23</v>
      </c>
      <c r="T24" s="428">
        <f>ROUND(M24*Q24,0)</f>
        <v>0</v>
      </c>
      <c r="U24" s="428"/>
      <c r="V24" s="429"/>
      <c r="W24" s="421" t="s">
        <v>27</v>
      </c>
      <c r="X24" s="373"/>
      <c r="Y24" s="373"/>
      <c r="Z24" s="373"/>
      <c r="AA24" s="422">
        <f>AS32</f>
        <v>0.2</v>
      </c>
      <c r="AB24" s="422"/>
      <c r="AC24" s="422"/>
      <c r="AD24" s="321" t="s">
        <v>33</v>
      </c>
      <c r="AE24" s="526">
        <v>3</v>
      </c>
      <c r="AF24" s="526"/>
      <c r="AG24" s="304" t="s">
        <v>23</v>
      </c>
      <c r="AH24" s="428">
        <f>ROUND(AA24*AE24,1)</f>
        <v>0.6</v>
      </c>
      <c r="AI24" s="428"/>
      <c r="AJ24" s="429"/>
      <c r="AK24" s="430" t="s">
        <v>78</v>
      </c>
      <c r="AL24" s="431"/>
      <c r="AM24" s="431"/>
      <c r="AN24" s="431"/>
      <c r="AO24" s="431"/>
      <c r="AP24" s="431"/>
      <c r="AQ24" s="431"/>
      <c r="AR24" s="65"/>
      <c r="AS24" s="65"/>
      <c r="AT24" s="65"/>
      <c r="AU24" s="66" t="s">
        <v>23</v>
      </c>
      <c r="AV24" s="513"/>
      <c r="AW24" s="513"/>
      <c r="AX24" s="514"/>
      <c r="AY24" s="5"/>
      <c r="AZ24" s="3"/>
      <c r="BA24" s="3"/>
      <c r="BB24" s="3"/>
      <c r="BC24" s="3"/>
      <c r="BD24" s="282"/>
      <c r="BE24" s="283">
        <v>9.5</v>
      </c>
      <c r="BF24" s="283">
        <v>48.299999999999976</v>
      </c>
      <c r="BG24" s="293">
        <v>0.33</v>
      </c>
      <c r="BH24" s="283">
        <v>2.2000000000000002</v>
      </c>
      <c r="BI24" s="3"/>
      <c r="BK24" s="1" t="s">
        <v>287</v>
      </c>
    </row>
    <row r="25" spans="1:63" ht="16.5" customHeight="1" x14ac:dyDescent="0.15">
      <c r="A25" s="406"/>
      <c r="B25" s="333"/>
      <c r="C25" s="333"/>
      <c r="D25" s="333"/>
      <c r="E25" s="333"/>
      <c r="F25" s="333"/>
      <c r="G25" s="333"/>
      <c r="H25" s="407"/>
      <c r="I25" s="415" t="s">
        <v>77</v>
      </c>
      <c r="J25" s="416"/>
      <c r="K25" s="416"/>
      <c r="L25" s="416"/>
      <c r="M25" s="417">
        <f>AS30</f>
        <v>7</v>
      </c>
      <c r="N25" s="417"/>
      <c r="O25" s="417"/>
      <c r="P25" s="305" t="s">
        <v>33</v>
      </c>
      <c r="Q25" s="516"/>
      <c r="R25" s="516"/>
      <c r="S25" s="8" t="s">
        <v>23</v>
      </c>
      <c r="T25" s="419">
        <f>ROUND(M25*Q25,0)</f>
        <v>0</v>
      </c>
      <c r="U25" s="419"/>
      <c r="V25" s="420"/>
      <c r="W25" s="415" t="s">
        <v>28</v>
      </c>
      <c r="X25" s="416"/>
      <c r="Y25" s="416"/>
      <c r="Z25" s="416"/>
      <c r="AA25" s="417">
        <f>AS33</f>
        <v>1.3</v>
      </c>
      <c r="AB25" s="417"/>
      <c r="AC25" s="417"/>
      <c r="AD25" s="233" t="s">
        <v>33</v>
      </c>
      <c r="AE25" s="516"/>
      <c r="AF25" s="516"/>
      <c r="AG25" s="8" t="s">
        <v>23</v>
      </c>
      <c r="AH25" s="419">
        <f>ROUND(AA25*AE25,1)</f>
        <v>0</v>
      </c>
      <c r="AI25" s="419"/>
      <c r="AJ25" s="420"/>
      <c r="AK25" s="434">
        <v>0</v>
      </c>
      <c r="AL25" s="435"/>
      <c r="AM25" s="435"/>
      <c r="AN25" s="435"/>
      <c r="AO25" s="435"/>
      <c r="AP25" s="435"/>
      <c r="AQ25" s="435"/>
      <c r="AR25" s="435"/>
      <c r="AS25" s="435"/>
      <c r="AT25" s="436">
        <f>ROUND(T23+T24+T25+AH23+AH24+AH25+AV23+AV24,1)</f>
        <v>15.6</v>
      </c>
      <c r="AU25" s="436"/>
      <c r="AV25" s="436"/>
      <c r="AW25" s="436"/>
      <c r="AX25" s="437"/>
      <c r="AY25" s="5"/>
      <c r="AZ25" s="3"/>
      <c r="BA25" s="3"/>
      <c r="BB25" s="3"/>
      <c r="BC25" s="3"/>
      <c r="BD25" s="282"/>
      <c r="BE25" s="283">
        <v>10</v>
      </c>
      <c r="BF25" s="283">
        <v>48.199999999999974</v>
      </c>
      <c r="BG25" s="293">
        <v>0.32</v>
      </c>
      <c r="BH25" s="283">
        <v>2.2999999999999998</v>
      </c>
      <c r="BI25" s="3"/>
    </row>
    <row r="26" spans="1:63" ht="16.5" customHeight="1" x14ac:dyDescent="0.15">
      <c r="A26" s="27" t="s">
        <v>36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72" t="s">
        <v>50</v>
      </c>
      <c r="AA26" s="386" t="s">
        <v>23</v>
      </c>
      <c r="AB26" s="438">
        <f>AK22</f>
        <v>15.6</v>
      </c>
      <c r="AC26" s="438"/>
      <c r="AD26" s="438"/>
      <c r="AE26" s="438"/>
      <c r="AF26" s="438"/>
      <c r="AG26" s="439" t="s">
        <v>23</v>
      </c>
      <c r="AH26" s="440">
        <f>ROUND(AB26/AB27,0)</f>
        <v>780</v>
      </c>
      <c r="AI26" s="440"/>
      <c r="AJ26" s="440"/>
      <c r="AK26" s="440"/>
      <c r="AL26" s="440"/>
      <c r="AM26" s="442" t="s">
        <v>275</v>
      </c>
      <c r="AN26" s="442"/>
      <c r="AO26" s="442"/>
      <c r="AP26" s="442"/>
      <c r="AQ26" s="442"/>
      <c r="AR26" s="442"/>
      <c r="AS26" s="442"/>
      <c r="AT26" s="442"/>
      <c r="AU26" s="442"/>
      <c r="AV26" s="442"/>
      <c r="AW26" s="442"/>
      <c r="AX26" s="29"/>
      <c r="AY26" s="5"/>
      <c r="AZ26" s="3"/>
      <c r="BA26" s="51"/>
      <c r="BB26" s="5"/>
      <c r="BC26" s="3"/>
      <c r="BD26" s="282"/>
      <c r="BE26" s="283">
        <v>10.5</v>
      </c>
      <c r="BF26" s="283">
        <v>48.099999999999973</v>
      </c>
      <c r="BG26" s="293">
        <v>0.31</v>
      </c>
      <c r="BH26" s="283">
        <v>2.4</v>
      </c>
      <c r="BI26" s="3"/>
    </row>
    <row r="27" spans="1:63" ht="16.5" customHeight="1" x14ac:dyDescent="0.15">
      <c r="A27" s="476" t="s">
        <v>45</v>
      </c>
      <c r="B27" s="386" t="s">
        <v>23</v>
      </c>
      <c r="C27" s="386" t="s">
        <v>46</v>
      </c>
      <c r="D27" s="386">
        <v>1.26E-2</v>
      </c>
      <c r="E27" s="386"/>
      <c r="F27" s="386"/>
      <c r="G27" s="386"/>
      <c r="H27" s="386"/>
      <c r="I27" s="386" t="s">
        <v>24</v>
      </c>
      <c r="J27" s="397" t="s">
        <v>47</v>
      </c>
      <c r="K27" s="397"/>
      <c r="L27" s="397"/>
      <c r="M27" s="397"/>
      <c r="N27" s="397"/>
      <c r="O27" s="397"/>
      <c r="P27" s="397"/>
      <c r="Q27" s="397"/>
      <c r="R27" s="397"/>
      <c r="S27" s="397"/>
      <c r="T27" s="386" t="s">
        <v>48</v>
      </c>
      <c r="U27" s="455" t="s">
        <v>33</v>
      </c>
      <c r="V27" s="31" t="s">
        <v>50</v>
      </c>
      <c r="W27" s="455" t="s">
        <v>33</v>
      </c>
      <c r="X27" s="397" t="s">
        <v>52</v>
      </c>
      <c r="Y27" s="456"/>
      <c r="Z27" s="28" t="s">
        <v>49</v>
      </c>
      <c r="AA27" s="386"/>
      <c r="AB27" s="457">
        <f>ROUND(AG2/1000,3)</f>
        <v>0.02</v>
      </c>
      <c r="AC27" s="457"/>
      <c r="AD27" s="457"/>
      <c r="AE27" s="457"/>
      <c r="AF27" s="457"/>
      <c r="AG27" s="386"/>
      <c r="AH27" s="441"/>
      <c r="AI27" s="441"/>
      <c r="AJ27" s="441"/>
      <c r="AK27" s="441"/>
      <c r="AL27" s="441"/>
      <c r="AM27" s="458" t="s">
        <v>79</v>
      </c>
      <c r="AN27" s="459"/>
      <c r="AO27" s="459"/>
      <c r="AP27" s="459"/>
      <c r="AQ27" s="459"/>
      <c r="AR27" s="460"/>
      <c r="AS27" s="443">
        <f>AG2</f>
        <v>20</v>
      </c>
      <c r="AT27" s="444"/>
      <c r="AU27" s="444"/>
      <c r="AV27" s="445" t="s">
        <v>83</v>
      </c>
      <c r="AW27" s="446"/>
      <c r="AX27" s="30"/>
      <c r="AY27" s="52"/>
      <c r="AZ27" s="234"/>
      <c r="BA27" s="76">
        <v>13</v>
      </c>
      <c r="BB27" s="76">
        <v>20</v>
      </c>
      <c r="BC27" s="76">
        <v>25</v>
      </c>
      <c r="BD27" s="282"/>
      <c r="BE27" s="283">
        <v>11</v>
      </c>
      <c r="BF27" s="283">
        <v>47.999999999999972</v>
      </c>
      <c r="BG27" s="293">
        <v>0.3</v>
      </c>
      <c r="BH27" s="283">
        <v>2.5</v>
      </c>
      <c r="BI27" s="3"/>
    </row>
    <row r="28" spans="1:63" ht="16.5" customHeight="1" x14ac:dyDescent="0.15">
      <c r="A28" s="476"/>
      <c r="B28" s="386"/>
      <c r="C28" s="386"/>
      <c r="D28" s="386"/>
      <c r="E28" s="386"/>
      <c r="F28" s="386"/>
      <c r="G28" s="386"/>
      <c r="H28" s="386"/>
      <c r="I28" s="386"/>
      <c r="J28" s="447" t="s">
        <v>64</v>
      </c>
      <c r="K28" s="447"/>
      <c r="L28" s="447"/>
      <c r="M28" s="447"/>
      <c r="N28" s="447"/>
      <c r="O28" s="447"/>
      <c r="P28" s="447"/>
      <c r="Q28" s="447"/>
      <c r="R28" s="447"/>
      <c r="S28" s="447"/>
      <c r="T28" s="386"/>
      <c r="U28" s="455"/>
      <c r="V28" s="33" t="s">
        <v>49</v>
      </c>
      <c r="W28" s="455"/>
      <c r="X28" s="447" t="s">
        <v>51</v>
      </c>
      <c r="Y28" s="448"/>
      <c r="Z28" s="449" t="s">
        <v>53</v>
      </c>
      <c r="AA28" s="386" t="s">
        <v>23</v>
      </c>
      <c r="AB28" s="68" t="s">
        <v>54</v>
      </c>
      <c r="AC28" s="386" t="s">
        <v>23</v>
      </c>
      <c r="AD28" s="450" t="e">
        <f>AL18</f>
        <v>#N/A</v>
      </c>
      <c r="AE28" s="450"/>
      <c r="AF28" s="450"/>
      <c r="AG28" s="450"/>
      <c r="AH28" s="450"/>
      <c r="AI28" s="450"/>
      <c r="AJ28" s="450"/>
      <c r="AK28" s="239"/>
      <c r="AL28" s="239"/>
      <c r="AM28" s="451" t="s">
        <v>25</v>
      </c>
      <c r="AN28" s="451"/>
      <c r="AO28" s="451"/>
      <c r="AP28" s="451"/>
      <c r="AQ28" s="451"/>
      <c r="AR28" s="451"/>
      <c r="AS28" s="452">
        <f>IF(AS27=0,0,HLOOKUP($AS$27,$BA$27:$BC$39,2,FALSE))</f>
        <v>2</v>
      </c>
      <c r="AT28" s="453"/>
      <c r="AU28" s="453"/>
      <c r="AV28" s="453"/>
      <c r="AW28" s="454"/>
      <c r="AX28" s="32"/>
      <c r="AY28" s="53"/>
      <c r="AZ28" s="468" t="s">
        <v>75</v>
      </c>
      <c r="BA28" s="54">
        <v>1.5</v>
      </c>
      <c r="BB28" s="54">
        <v>2</v>
      </c>
      <c r="BC28" s="54">
        <v>3</v>
      </c>
      <c r="BD28" s="282"/>
      <c r="BE28" s="283">
        <v>11.5</v>
      </c>
      <c r="BF28" s="283">
        <v>47.89999999999997</v>
      </c>
      <c r="BG28" s="293">
        <v>0.28999999999999998</v>
      </c>
      <c r="BH28" s="283">
        <v>2.6</v>
      </c>
      <c r="BI28" s="3"/>
    </row>
    <row r="29" spans="1:63" ht="16.5" customHeight="1" x14ac:dyDescent="0.15">
      <c r="A29" s="27"/>
      <c r="B29" s="69" t="s">
        <v>80</v>
      </c>
      <c r="C29" s="69"/>
      <c r="D29" s="469" t="e">
        <f>IF(A53=1,ROUND((0.0126+AH34/AC35)*AH26*AC33,1),0)</f>
        <v>#N/A</v>
      </c>
      <c r="E29" s="469"/>
      <c r="F29" s="469"/>
      <c r="G29" s="469"/>
      <c r="H29" s="469"/>
      <c r="I29" s="469"/>
      <c r="J29" s="469"/>
      <c r="K29" s="3"/>
      <c r="L29" s="3"/>
      <c r="M29" s="3"/>
      <c r="N29" s="3"/>
      <c r="O29" s="3"/>
      <c r="P29" s="3"/>
      <c r="Q29" s="3"/>
      <c r="R29" s="3"/>
      <c r="S29" s="3"/>
      <c r="T29" s="69"/>
      <c r="U29" s="71"/>
      <c r="V29" s="3"/>
      <c r="W29" s="71"/>
      <c r="X29" s="3"/>
      <c r="Y29" s="3"/>
      <c r="Z29" s="449"/>
      <c r="AA29" s="386"/>
      <c r="AB29" s="69" t="s">
        <v>29</v>
      </c>
      <c r="AC29" s="386"/>
      <c r="AD29" s="470">
        <f>HLOOKUP($AG$2,$BA$27:$BC$40,14)</f>
        <v>3.1399999999999999E-4</v>
      </c>
      <c r="AE29" s="470"/>
      <c r="AF29" s="470"/>
      <c r="AG29" s="470"/>
      <c r="AH29" s="470"/>
      <c r="AI29" s="470"/>
      <c r="AJ29" s="470"/>
      <c r="AK29" s="34"/>
      <c r="AL29" s="34"/>
      <c r="AM29" s="451" t="s">
        <v>26</v>
      </c>
      <c r="AN29" s="451"/>
      <c r="AO29" s="451"/>
      <c r="AP29" s="451"/>
      <c r="AQ29" s="451"/>
      <c r="AR29" s="451"/>
      <c r="AS29" s="452">
        <f>IF(AS27=0,0,HLOOKUP($AS$27,$BA$27:$BC$39,3,FALSE))</f>
        <v>8</v>
      </c>
      <c r="AT29" s="453"/>
      <c r="AU29" s="453"/>
      <c r="AV29" s="453"/>
      <c r="AW29" s="454"/>
      <c r="AX29" s="32"/>
      <c r="AY29" s="53"/>
      <c r="AZ29" s="468"/>
      <c r="BA29" s="55">
        <v>3</v>
      </c>
      <c r="BB29" s="55">
        <v>8</v>
      </c>
      <c r="BC29" s="55">
        <v>10</v>
      </c>
      <c r="BD29" s="284"/>
      <c r="BE29" s="283">
        <v>12</v>
      </c>
      <c r="BF29" s="283">
        <v>47.799999999999969</v>
      </c>
      <c r="BG29" s="293">
        <v>0.28000000000000003</v>
      </c>
      <c r="BH29" s="283">
        <v>2.7</v>
      </c>
      <c r="BI29" s="3"/>
    </row>
    <row r="30" spans="1:63" ht="16.5" customHeight="1" x14ac:dyDescent="0.15">
      <c r="A30" s="471" t="e">
        <f>IF(A53&lt;&gt;1,"口径,水量,延長を記入ください","")</f>
        <v>#N/A</v>
      </c>
      <c r="B30" s="472"/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2"/>
      <c r="V30" s="472"/>
      <c r="W30" s="472"/>
      <c r="X30" s="472"/>
      <c r="Y30" s="473"/>
      <c r="Z30" s="28"/>
      <c r="AA30" s="69"/>
      <c r="AB30" s="69"/>
      <c r="AC30" s="69" t="s">
        <v>23</v>
      </c>
      <c r="AD30" s="474" t="e">
        <f>ROUND(AD28/AD29,3)</f>
        <v>#N/A</v>
      </c>
      <c r="AE30" s="474"/>
      <c r="AF30" s="474"/>
      <c r="AG30" s="474"/>
      <c r="AH30" s="474"/>
      <c r="AI30" s="474"/>
      <c r="AJ30" s="474"/>
      <c r="AK30" s="35"/>
      <c r="AL30" s="35"/>
      <c r="AM30" s="451" t="s">
        <v>77</v>
      </c>
      <c r="AN30" s="451"/>
      <c r="AO30" s="451"/>
      <c r="AP30" s="451"/>
      <c r="AQ30" s="451"/>
      <c r="AR30" s="451"/>
      <c r="AS30" s="452">
        <f>IF(AS27=0,0,HLOOKUP($AS$27,$BA$27:$BC$39,4,FALSE))</f>
        <v>7</v>
      </c>
      <c r="AT30" s="453"/>
      <c r="AU30" s="453"/>
      <c r="AV30" s="453"/>
      <c r="AW30" s="454"/>
      <c r="AX30" s="32"/>
      <c r="AY30" s="53"/>
      <c r="AZ30" s="468"/>
      <c r="BA30" s="54">
        <v>4</v>
      </c>
      <c r="BB30" s="54">
        <v>7</v>
      </c>
      <c r="BC30" s="54">
        <v>11</v>
      </c>
      <c r="BD30" s="284"/>
      <c r="BE30" s="283">
        <v>12.5</v>
      </c>
      <c r="BF30" s="283">
        <v>47.699999999999967</v>
      </c>
      <c r="BG30" s="293">
        <v>0.27</v>
      </c>
      <c r="BH30" s="283">
        <v>2.8</v>
      </c>
      <c r="BI30" s="3"/>
    </row>
    <row r="31" spans="1:63" ht="16.5" customHeight="1" x14ac:dyDescent="0.15">
      <c r="A31" s="471"/>
      <c r="B31" s="472"/>
      <c r="C31" s="472"/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3"/>
      <c r="Z31" s="475" t="s">
        <v>52</v>
      </c>
      <c r="AA31" s="397"/>
      <c r="AB31" s="386" t="s">
        <v>23</v>
      </c>
      <c r="AC31" s="480" t="e">
        <f>AD30</f>
        <v>#N/A</v>
      </c>
      <c r="AD31" s="480"/>
      <c r="AE31" s="480"/>
      <c r="AF31" s="480"/>
      <c r="AG31" s="480"/>
      <c r="AH31" s="36">
        <v>2</v>
      </c>
      <c r="AI31" s="94"/>
      <c r="AJ31" s="94"/>
      <c r="AK31" s="94"/>
      <c r="AL31" s="95"/>
      <c r="AM31" s="451" t="s">
        <v>39</v>
      </c>
      <c r="AN31" s="451"/>
      <c r="AO31" s="451"/>
      <c r="AP31" s="451"/>
      <c r="AQ31" s="451"/>
      <c r="AR31" s="451"/>
      <c r="AS31" s="452">
        <f>IF(AS27=0,0,HLOOKUP($AS$27,$BA$27:$BC$39,5,FALSE))</f>
        <v>1</v>
      </c>
      <c r="AT31" s="453"/>
      <c r="AU31" s="453"/>
      <c r="AV31" s="453"/>
      <c r="AW31" s="454"/>
      <c r="AX31" s="32"/>
      <c r="AY31" s="53"/>
      <c r="AZ31" s="468"/>
      <c r="BA31" s="55">
        <v>0.6</v>
      </c>
      <c r="BB31" s="55">
        <v>1</v>
      </c>
      <c r="BC31" s="55">
        <v>1.3</v>
      </c>
      <c r="BD31" s="284"/>
      <c r="BE31" s="283">
        <v>13</v>
      </c>
      <c r="BF31" s="283">
        <v>47.599999999999966</v>
      </c>
      <c r="BG31" s="293">
        <v>0.26</v>
      </c>
      <c r="BH31" s="283">
        <v>2.9</v>
      </c>
      <c r="BI31" s="3"/>
    </row>
    <row r="32" spans="1:63" ht="16.5" customHeight="1" x14ac:dyDescent="0.15">
      <c r="A32" s="461" t="str">
        <f>IF(OR(ISERROR(AA44),ISERROR(B44)),"",IF(AND(AA44&lt;0,B44&gt;0),"残存水頭計算が0m以下(異常値)であるため、器具栓数をすべて0とし、(B)へ出水可能水量を仮定入力し、残存水頭が0以上となるよう逆算すること。",""))</f>
        <v/>
      </c>
      <c r="B32" s="462"/>
      <c r="C32" s="462"/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3"/>
      <c r="Z32" s="464" t="s">
        <v>51</v>
      </c>
      <c r="AA32" s="447"/>
      <c r="AB32" s="386"/>
      <c r="AC32" s="465" t="s">
        <v>93</v>
      </c>
      <c r="AD32" s="465"/>
      <c r="AE32" s="465"/>
      <c r="AF32" s="465"/>
      <c r="AG32" s="465"/>
      <c r="AH32" s="3"/>
      <c r="AI32" s="94"/>
      <c r="AJ32" s="94"/>
      <c r="AK32" s="94"/>
      <c r="AL32" s="95"/>
      <c r="AM32" s="466" t="s">
        <v>37</v>
      </c>
      <c r="AN32" s="466"/>
      <c r="AO32" s="466"/>
      <c r="AP32" s="466"/>
      <c r="AQ32" s="466"/>
      <c r="AR32" s="466"/>
      <c r="AS32" s="452">
        <f>IF(AS27=0,0,HLOOKUP($AS$27,$BA$27:$BC$39,6,FALSE))</f>
        <v>0.2</v>
      </c>
      <c r="AT32" s="453"/>
      <c r="AU32" s="453"/>
      <c r="AV32" s="453"/>
      <c r="AW32" s="454"/>
      <c r="AX32" s="32"/>
      <c r="AY32" s="53"/>
      <c r="AZ32" s="468"/>
      <c r="BA32" s="54">
        <v>0.2</v>
      </c>
      <c r="BB32" s="54">
        <v>0.2</v>
      </c>
      <c r="BC32" s="54">
        <v>0.3</v>
      </c>
      <c r="BD32" s="284"/>
      <c r="BE32" s="283">
        <v>13.5</v>
      </c>
      <c r="BF32" s="283">
        <v>47.499999999999964</v>
      </c>
      <c r="BG32" s="293">
        <v>0.25</v>
      </c>
      <c r="BH32" s="283">
        <v>3</v>
      </c>
      <c r="BI32" s="3"/>
    </row>
    <row r="33" spans="1:68" ht="16.5" customHeight="1" x14ac:dyDescent="0.15">
      <c r="A33" s="461"/>
      <c r="B33" s="462"/>
      <c r="C33" s="462"/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3"/>
      <c r="Z33" s="467"/>
      <c r="AA33" s="465"/>
      <c r="AB33" s="69" t="s">
        <v>23</v>
      </c>
      <c r="AC33" s="477" t="e">
        <f>ROUND(AC31*AC31/19.6,4)</f>
        <v>#N/A</v>
      </c>
      <c r="AD33" s="477"/>
      <c r="AE33" s="477"/>
      <c r="AF33" s="477"/>
      <c r="AG33" s="477"/>
      <c r="AH33" s="477"/>
      <c r="AI33" s="227"/>
      <c r="AJ33" s="227"/>
      <c r="AK33" s="229"/>
      <c r="AL33" s="239"/>
      <c r="AM33" s="466" t="s">
        <v>38</v>
      </c>
      <c r="AN33" s="466"/>
      <c r="AO33" s="466"/>
      <c r="AP33" s="466"/>
      <c r="AQ33" s="466"/>
      <c r="AR33" s="466"/>
      <c r="AS33" s="452">
        <f>IF(AS27=0,0,HLOOKUP($AS$27,$BA$27:$BC$39,7,FALSE))</f>
        <v>1.3</v>
      </c>
      <c r="AT33" s="453"/>
      <c r="AU33" s="453"/>
      <c r="AV33" s="453"/>
      <c r="AW33" s="454"/>
      <c r="AX33" s="32"/>
      <c r="AY33" s="53"/>
      <c r="AZ33" s="468"/>
      <c r="BA33" s="55">
        <v>0.9</v>
      </c>
      <c r="BB33" s="55">
        <v>1.3</v>
      </c>
      <c r="BC33" s="55">
        <v>1.5</v>
      </c>
      <c r="BD33" s="284"/>
      <c r="BE33" s="283">
        <v>14</v>
      </c>
      <c r="BF33" s="283">
        <v>47.399999999999963</v>
      </c>
      <c r="BG33" s="293">
        <v>0.24</v>
      </c>
      <c r="BH33" s="283">
        <v>3.1</v>
      </c>
      <c r="BI33" s="3"/>
    </row>
    <row r="34" spans="1:68" ht="16.5" customHeight="1" x14ac:dyDescent="0.15">
      <c r="A34" s="461"/>
      <c r="B34" s="462"/>
      <c r="C34" s="462"/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3"/>
      <c r="Z34" s="96" t="s">
        <v>94</v>
      </c>
      <c r="AA34" s="69"/>
      <c r="AB34" s="69"/>
      <c r="AC34" s="3"/>
      <c r="AD34" s="3"/>
      <c r="AE34" s="3"/>
      <c r="AF34" s="3"/>
      <c r="AG34" s="3"/>
      <c r="AH34" s="478">
        <f>ROUND(0.01739-(0.1087*AB27),4)</f>
        <v>1.52E-2</v>
      </c>
      <c r="AI34" s="478"/>
      <c r="AJ34" s="478"/>
      <c r="AK34" s="478"/>
      <c r="AL34" s="479"/>
      <c r="AM34" s="451" t="s">
        <v>35</v>
      </c>
      <c r="AN34" s="451"/>
      <c r="AO34" s="451"/>
      <c r="AP34" s="451"/>
      <c r="AQ34" s="451"/>
      <c r="AR34" s="451"/>
      <c r="AS34" s="452">
        <f>IF(AS27=0,0,HLOOKUP($AS$27,$BA$27:$BC$39,8,FALSE))</f>
        <v>8</v>
      </c>
      <c r="AT34" s="453"/>
      <c r="AU34" s="453"/>
      <c r="AV34" s="453"/>
      <c r="AW34" s="454"/>
      <c r="AX34" s="32"/>
      <c r="AY34" s="53"/>
      <c r="AZ34" s="468"/>
      <c r="BA34" s="54">
        <v>3</v>
      </c>
      <c r="BB34" s="54">
        <v>8</v>
      </c>
      <c r="BC34" s="54">
        <v>8</v>
      </c>
      <c r="BD34" s="284"/>
      <c r="BE34" s="283">
        <v>14.5</v>
      </c>
      <c r="BF34" s="283">
        <v>47.299999999999962</v>
      </c>
      <c r="BG34" s="293">
        <v>0.23</v>
      </c>
      <c r="BH34" s="283">
        <v>3.2</v>
      </c>
      <c r="BI34" s="3"/>
    </row>
    <row r="35" spans="1:68" ht="16.5" customHeight="1" x14ac:dyDescent="0.15">
      <c r="A35" s="461"/>
      <c r="B35" s="462"/>
      <c r="C35" s="462"/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3"/>
      <c r="Z35" s="449" t="s">
        <v>64</v>
      </c>
      <c r="AA35" s="386"/>
      <c r="AB35" s="69" t="s">
        <v>23</v>
      </c>
      <c r="AC35" s="484" t="e">
        <f>ROUND(SQRT(AD30),3)</f>
        <v>#N/A</v>
      </c>
      <c r="AD35" s="484"/>
      <c r="AE35" s="484"/>
      <c r="AF35" s="484"/>
      <c r="AG35" s="484"/>
      <c r="AH35" s="484"/>
      <c r="AI35" s="484"/>
      <c r="AJ35" s="484"/>
      <c r="AK35" s="239"/>
      <c r="AL35" s="239"/>
      <c r="AM35" s="451" t="s">
        <v>40</v>
      </c>
      <c r="AN35" s="451"/>
      <c r="AO35" s="451"/>
      <c r="AP35" s="451"/>
      <c r="AQ35" s="451"/>
      <c r="AR35" s="451"/>
      <c r="AS35" s="452">
        <f>IF(AS27=0,0,HLOOKUP($AS$27,$BA$27:$BC$39,9,FALSE))</f>
        <v>5</v>
      </c>
      <c r="AT35" s="453"/>
      <c r="AU35" s="453"/>
      <c r="AV35" s="453"/>
      <c r="AW35" s="454"/>
      <c r="AX35" s="32"/>
      <c r="AY35" s="53"/>
      <c r="AZ35" s="468"/>
      <c r="BA35" s="55">
        <v>3.8</v>
      </c>
      <c r="BB35" s="55">
        <v>5</v>
      </c>
      <c r="BC35" s="55">
        <v>6</v>
      </c>
      <c r="BD35" s="284"/>
      <c r="BE35" s="283">
        <v>15</v>
      </c>
      <c r="BF35" s="283">
        <v>47.19999999999996</v>
      </c>
      <c r="BG35" s="293">
        <v>0.22</v>
      </c>
      <c r="BH35" s="283">
        <v>3.3</v>
      </c>
      <c r="BI35" s="3"/>
    </row>
    <row r="36" spans="1:68" ht="16.5" customHeight="1" x14ac:dyDescent="0.15">
      <c r="A36" s="461"/>
      <c r="B36" s="462"/>
      <c r="C36" s="462"/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3"/>
      <c r="Z36" s="449"/>
      <c r="AA36" s="386"/>
      <c r="AB36" s="69"/>
      <c r="AC36" s="485"/>
      <c r="AD36" s="485"/>
      <c r="AE36" s="485"/>
      <c r="AF36" s="485"/>
      <c r="AG36" s="485"/>
      <c r="AH36" s="485"/>
      <c r="AI36" s="485"/>
      <c r="AJ36" s="69"/>
      <c r="AK36" s="239"/>
      <c r="AL36" s="239"/>
      <c r="AM36" s="451" t="s">
        <v>41</v>
      </c>
      <c r="AN36" s="451"/>
      <c r="AO36" s="451"/>
      <c r="AP36" s="451"/>
      <c r="AQ36" s="451"/>
      <c r="AR36" s="451"/>
      <c r="AS36" s="452">
        <f>IF(AS27=0,0,HLOOKUP($AS$27,$BA$27:$BC$39,10,FALSE))</f>
        <v>0.2</v>
      </c>
      <c r="AT36" s="453"/>
      <c r="AU36" s="453"/>
      <c r="AV36" s="453"/>
      <c r="AW36" s="454"/>
      <c r="AX36" s="32"/>
      <c r="AY36" s="53"/>
      <c r="AZ36" s="468"/>
      <c r="BA36" s="54">
        <v>0.1</v>
      </c>
      <c r="BB36" s="54">
        <v>0.2</v>
      </c>
      <c r="BC36" s="54">
        <v>0.3</v>
      </c>
      <c r="BD36" s="284"/>
      <c r="BE36" s="283">
        <v>15.5</v>
      </c>
      <c r="BF36" s="283">
        <v>47.099999999999959</v>
      </c>
      <c r="BG36" s="293">
        <v>0.21</v>
      </c>
      <c r="BH36" s="283">
        <v>3.4</v>
      </c>
      <c r="BI36" s="3"/>
    </row>
    <row r="37" spans="1:68" ht="16.5" customHeight="1" x14ac:dyDescent="0.15">
      <c r="A37" s="27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0"/>
      <c r="Z37" s="69"/>
      <c r="AA37" s="69"/>
      <c r="AB37" s="69"/>
      <c r="AC37" s="69"/>
      <c r="AD37" s="69"/>
      <c r="AE37" s="69"/>
      <c r="AF37" s="69"/>
      <c r="AG37" s="69"/>
      <c r="AH37" s="69"/>
      <c r="AI37" s="227"/>
      <c r="AJ37" s="227"/>
      <c r="AK37" s="229"/>
      <c r="AL37" s="239"/>
      <c r="AM37" s="451" t="s">
        <v>42</v>
      </c>
      <c r="AN37" s="451"/>
      <c r="AO37" s="451"/>
      <c r="AP37" s="451"/>
      <c r="AQ37" s="451"/>
      <c r="AR37" s="451"/>
      <c r="AS37" s="452">
        <f>IF(AS27=0,0,HLOOKUP($AS$27,$BA$27:$BC$39,11,FALSE))</f>
        <v>8</v>
      </c>
      <c r="AT37" s="453"/>
      <c r="AU37" s="453"/>
      <c r="AV37" s="453"/>
      <c r="AW37" s="454"/>
      <c r="AX37" s="32"/>
      <c r="AY37" s="53"/>
      <c r="AZ37" s="468"/>
      <c r="BA37" s="55">
        <v>4</v>
      </c>
      <c r="BB37" s="55">
        <v>8</v>
      </c>
      <c r="BC37" s="55">
        <v>11</v>
      </c>
      <c r="BD37" s="284"/>
      <c r="BE37" s="283">
        <v>16</v>
      </c>
      <c r="BF37" s="283">
        <v>46.999999999999957</v>
      </c>
      <c r="BG37" s="293">
        <v>0.2</v>
      </c>
      <c r="BH37" s="283">
        <v>3.5</v>
      </c>
      <c r="BI37" s="3"/>
    </row>
    <row r="38" spans="1:68" ht="16.5" customHeight="1" x14ac:dyDescent="0.1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481"/>
      <c r="AA38" s="482"/>
      <c r="AB38" s="37"/>
      <c r="AC38" s="483"/>
      <c r="AD38" s="483"/>
      <c r="AE38" s="483"/>
      <c r="AF38" s="483"/>
      <c r="AG38" s="483"/>
      <c r="AH38" s="483"/>
      <c r="AI38" s="37"/>
      <c r="AJ38" s="37"/>
      <c r="AK38" s="22"/>
      <c r="AL38" s="22"/>
      <c r="AM38" s="451" t="s">
        <v>43</v>
      </c>
      <c r="AN38" s="451"/>
      <c r="AO38" s="451"/>
      <c r="AP38" s="451"/>
      <c r="AQ38" s="451"/>
      <c r="AR38" s="451"/>
      <c r="AS38" s="452">
        <f>IF(AS27=0,0,HLOOKUP($AS$27,$BA$27:$BC$39,12,FALSE))</f>
        <v>3.7</v>
      </c>
      <c r="AT38" s="453"/>
      <c r="AU38" s="453"/>
      <c r="AV38" s="453"/>
      <c r="AW38" s="454"/>
      <c r="AX38" s="32"/>
      <c r="AY38" s="53"/>
      <c r="AZ38" s="468"/>
      <c r="BA38" s="54">
        <v>3</v>
      </c>
      <c r="BB38" s="54">
        <v>3.7</v>
      </c>
      <c r="BC38" s="54">
        <v>4.5999999999999996</v>
      </c>
      <c r="BD38" s="284"/>
      <c r="BE38" s="283">
        <v>16.5</v>
      </c>
      <c r="BF38" s="283">
        <v>46.899999999999956</v>
      </c>
      <c r="BG38" s="293">
        <v>0.19</v>
      </c>
      <c r="BH38" s="283">
        <v>3.6</v>
      </c>
      <c r="BI38" s="3"/>
    </row>
    <row r="39" spans="1:68" ht="16.5" customHeight="1" x14ac:dyDescent="0.15">
      <c r="A39" s="486" t="s">
        <v>55</v>
      </c>
      <c r="B39" s="487"/>
      <c r="C39" s="487"/>
      <c r="D39" s="487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8"/>
      <c r="AJ39" s="8"/>
      <c r="AK39" s="8"/>
      <c r="AL39" s="8"/>
      <c r="AM39" s="466" t="s">
        <v>44</v>
      </c>
      <c r="AN39" s="466"/>
      <c r="AO39" s="466"/>
      <c r="AP39" s="466"/>
      <c r="AQ39" s="466"/>
      <c r="AR39" s="466"/>
      <c r="AS39" s="452">
        <f>IF(AS27=0,0,HLOOKUP($AS$27,$BA$27:$BC$39,13,FALSE))</f>
        <v>1</v>
      </c>
      <c r="AT39" s="453"/>
      <c r="AU39" s="453"/>
      <c r="AV39" s="453"/>
      <c r="AW39" s="454"/>
      <c r="AX39" s="74"/>
      <c r="AY39" s="53"/>
      <c r="AZ39" s="468"/>
      <c r="BA39" s="55">
        <v>1</v>
      </c>
      <c r="BB39" s="55">
        <v>1</v>
      </c>
      <c r="BC39" s="55">
        <v>1</v>
      </c>
      <c r="BD39" s="284"/>
      <c r="BE39" s="283">
        <v>17</v>
      </c>
      <c r="BF39" s="283">
        <v>46.799999999999955</v>
      </c>
      <c r="BG39" s="293">
        <v>0.18</v>
      </c>
      <c r="BH39" s="283">
        <v>3.7</v>
      </c>
      <c r="BI39" s="3"/>
      <c r="BJ39" s="87"/>
      <c r="BK39" s="87"/>
      <c r="BL39" s="87"/>
      <c r="BM39" s="87"/>
      <c r="BN39" s="87"/>
      <c r="BO39" s="87"/>
      <c r="BP39" s="87"/>
    </row>
    <row r="40" spans="1:68" ht="18" customHeight="1" x14ac:dyDescent="0.15">
      <c r="A40" s="252" t="s">
        <v>84</v>
      </c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488" t="str">
        <f>IF(B41=0,"下記設計水頭は、別紙水理計算書の残水頭とする","")</f>
        <v>下記設計水頭は、別紙水理計算書の残水頭とする</v>
      </c>
      <c r="R40" s="488"/>
      <c r="S40" s="488"/>
      <c r="T40" s="488"/>
      <c r="U40" s="488"/>
      <c r="V40" s="488"/>
      <c r="W40" s="488"/>
      <c r="X40" s="488"/>
      <c r="Y40" s="488"/>
      <c r="Z40" s="488"/>
      <c r="AA40" s="488"/>
      <c r="AB40" s="488"/>
      <c r="AC40" s="488"/>
      <c r="AD40" s="488"/>
      <c r="AE40" s="488"/>
      <c r="AF40" s="488"/>
      <c r="AG40" s="488"/>
      <c r="AH40" s="488"/>
      <c r="AI40" s="488"/>
      <c r="AJ40" s="488"/>
      <c r="AK40" s="488"/>
      <c r="AL40" s="488"/>
      <c r="AM40" s="488"/>
      <c r="AN40" s="488"/>
      <c r="AO40" s="488"/>
      <c r="AP40" s="488"/>
      <c r="AQ40" s="488"/>
      <c r="AR40" s="488"/>
      <c r="AS40" s="488"/>
      <c r="AT40" s="488"/>
      <c r="AU40" s="488"/>
      <c r="AV40" s="488"/>
      <c r="AW40" s="488"/>
      <c r="AX40" s="489"/>
      <c r="AY40" s="5"/>
      <c r="AZ40" s="77" t="s">
        <v>82</v>
      </c>
      <c r="BA40" s="78">
        <v>1.327E-4</v>
      </c>
      <c r="BB40" s="78">
        <v>3.1399999999999999E-4</v>
      </c>
      <c r="BC40" s="78">
        <v>4.8999999999999998E-4</v>
      </c>
      <c r="BD40" s="284"/>
      <c r="BE40" s="283">
        <v>17.5</v>
      </c>
      <c r="BF40" s="283">
        <v>46.699999999999953</v>
      </c>
      <c r="BG40" s="294">
        <v>0.17</v>
      </c>
      <c r="BH40" s="283">
        <v>3.8</v>
      </c>
      <c r="BI40" s="3"/>
      <c r="BJ40" s="87"/>
      <c r="BK40" s="92"/>
      <c r="BL40" s="92"/>
      <c r="BM40" s="92"/>
      <c r="BN40" s="92"/>
      <c r="BO40" s="92"/>
      <c r="BP40" s="92"/>
    </row>
    <row r="41" spans="1:68" ht="20.25" customHeight="1" x14ac:dyDescent="0.15">
      <c r="A41" s="39"/>
      <c r="B41" s="523"/>
      <c r="C41" s="523"/>
      <c r="D41" s="523"/>
      <c r="E41" s="523"/>
      <c r="F41" s="523"/>
      <c r="G41" s="523"/>
      <c r="H41" s="8">
        <v>0</v>
      </c>
      <c r="I41" s="8" t="s">
        <v>283</v>
      </c>
      <c r="J41" s="40"/>
      <c r="K41" s="8"/>
      <c r="L41" s="8"/>
      <c r="M41" s="8"/>
      <c r="N41" s="40"/>
      <c r="O41" s="40"/>
      <c r="P41" s="40"/>
      <c r="Q41" s="40"/>
      <c r="R41" s="40"/>
      <c r="S41" s="491" t="e">
        <f>IF(AND(B41&gt;0,A53=1),ROUND(B41*95,1),0)</f>
        <v>#N/A</v>
      </c>
      <c r="T41" s="491"/>
      <c r="U41" s="491"/>
      <c r="V41" s="491"/>
      <c r="W41" s="491"/>
      <c r="X41" s="491"/>
      <c r="Y41" s="68" t="e">
        <f>IF(AND(B41&gt;0,A53=1),"ｍ：設計水頭","")</f>
        <v>#N/A</v>
      </c>
      <c r="Z41" s="88"/>
      <c r="AA41" s="88"/>
      <c r="AB41" s="88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8"/>
      <c r="AP41" s="8"/>
      <c r="AQ41" s="8"/>
      <c r="AR41" s="8" t="str">
        <f>IF(AI41&gt;0,"：設計水頭","")</f>
        <v/>
      </c>
      <c r="AS41" s="8"/>
      <c r="AT41" s="8"/>
      <c r="AU41" s="8"/>
      <c r="AV41" s="8"/>
      <c r="AW41" s="8"/>
      <c r="AX41" s="49"/>
      <c r="AY41" s="5"/>
      <c r="AZ41" s="3"/>
      <c r="BA41" s="3"/>
      <c r="BB41" s="3"/>
      <c r="BC41" s="3"/>
      <c r="BD41" s="284"/>
      <c r="BE41" s="283">
        <v>18</v>
      </c>
      <c r="BF41" s="283">
        <v>46.599999999999952</v>
      </c>
      <c r="BG41" s="293">
        <v>0.16</v>
      </c>
      <c r="BH41" s="283">
        <v>3.9</v>
      </c>
      <c r="BI41" s="3"/>
      <c r="BJ41" s="87"/>
      <c r="BK41" s="87"/>
      <c r="BL41" s="87"/>
      <c r="BM41" s="87"/>
      <c r="BN41" s="87"/>
      <c r="BO41" s="87"/>
      <c r="BP41" s="87"/>
    </row>
    <row r="42" spans="1:68" ht="15.75" customHeight="1" x14ac:dyDescent="0.15">
      <c r="A42" s="4" t="s">
        <v>56</v>
      </c>
      <c r="B42" s="58"/>
      <c r="C42" s="58"/>
      <c r="D42" s="58"/>
      <c r="E42" s="58"/>
      <c r="F42" s="58"/>
      <c r="G42" s="58"/>
      <c r="H42" s="58"/>
      <c r="I42" s="58"/>
      <c r="J42" s="58"/>
      <c r="K42" s="500"/>
      <c r="L42" s="500"/>
      <c r="M42" s="500"/>
      <c r="N42" s="500"/>
      <c r="O42" s="500"/>
      <c r="P42" s="500"/>
      <c r="Q42" s="500"/>
      <c r="R42" s="500"/>
      <c r="S42" s="500"/>
      <c r="T42" s="500"/>
      <c r="U42" s="500"/>
      <c r="V42" s="500"/>
      <c r="W42" s="500"/>
      <c r="X42" s="500"/>
      <c r="Y42" s="500"/>
      <c r="Z42" s="500"/>
      <c r="AA42" s="500"/>
      <c r="AB42" s="500"/>
      <c r="AC42" s="500"/>
      <c r="AD42" s="500"/>
      <c r="AE42" s="500"/>
      <c r="AF42" s="500"/>
      <c r="AG42" s="500"/>
      <c r="AH42" s="500"/>
      <c r="AI42" s="500"/>
      <c r="AJ42" s="500"/>
      <c r="AK42" s="500"/>
      <c r="AL42" s="500"/>
      <c r="AM42" s="500"/>
      <c r="AN42" s="500"/>
      <c r="AO42" s="500"/>
      <c r="AP42" s="500"/>
      <c r="AQ42" s="500"/>
      <c r="AR42" s="500"/>
      <c r="AS42" s="500"/>
      <c r="AT42" s="500"/>
      <c r="AU42" s="500"/>
      <c r="AV42" s="500"/>
      <c r="AW42" s="500"/>
      <c r="AX42" s="501"/>
      <c r="AY42" s="5"/>
      <c r="AZ42" s="3"/>
      <c r="BA42" s="3"/>
      <c r="BB42" s="3"/>
      <c r="BC42" s="3"/>
      <c r="BD42" s="284"/>
      <c r="BE42" s="283">
        <v>18.5</v>
      </c>
      <c r="BF42" s="283">
        <v>46.49999999999995</v>
      </c>
      <c r="BG42" s="293">
        <v>0.15</v>
      </c>
      <c r="BH42" s="283">
        <v>4</v>
      </c>
      <c r="BI42" s="3"/>
      <c r="BJ42" s="87"/>
      <c r="BK42" s="87"/>
      <c r="BL42" s="87"/>
      <c r="BM42" s="87"/>
      <c r="BN42" s="87"/>
      <c r="BO42" s="87"/>
      <c r="BP42" s="87"/>
    </row>
    <row r="43" spans="1:68" ht="12.75" customHeight="1" x14ac:dyDescent="0.15">
      <c r="A43" s="41"/>
      <c r="B43" s="89" t="s">
        <v>57</v>
      </c>
      <c r="C43" s="42"/>
      <c r="D43" s="42"/>
      <c r="E43" s="42"/>
      <c r="F43" s="42"/>
      <c r="G43" s="42"/>
      <c r="H43" s="89" t="s">
        <v>62</v>
      </c>
      <c r="I43" s="42"/>
      <c r="J43" s="42"/>
      <c r="K43" s="42"/>
      <c r="L43" s="42"/>
      <c r="M43" s="42"/>
      <c r="N43" s="89" t="s">
        <v>61</v>
      </c>
      <c r="O43" s="42"/>
      <c r="P43" s="42"/>
      <c r="Q43" s="42"/>
      <c r="R43" s="42"/>
      <c r="S43" s="42"/>
      <c r="T43" s="89" t="s">
        <v>60</v>
      </c>
      <c r="U43" s="89"/>
      <c r="V43" s="42"/>
      <c r="W43" s="42"/>
      <c r="X43" s="42"/>
      <c r="Y43" s="42"/>
      <c r="Z43" s="42"/>
      <c r="AA43" s="89"/>
      <c r="AB43" s="89" t="s">
        <v>59</v>
      </c>
      <c r="AC43" s="42"/>
      <c r="AD43" s="42"/>
      <c r="AE43" s="42"/>
      <c r="AF43" s="42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4"/>
      <c r="AY43" s="5"/>
      <c r="AZ43" s="3"/>
      <c r="BA43" s="3"/>
      <c r="BB43" s="3"/>
      <c r="BC43" s="3"/>
      <c r="BD43" s="284"/>
      <c r="BE43" s="283">
        <v>19</v>
      </c>
      <c r="BF43" s="283">
        <v>46.4</v>
      </c>
      <c r="BG43" s="293">
        <v>0.14000000000000001</v>
      </c>
      <c r="BH43" s="283">
        <v>4.0999999999999996</v>
      </c>
      <c r="BI43" s="3"/>
      <c r="BJ43" s="87"/>
      <c r="BK43" s="87"/>
      <c r="BL43" s="87"/>
      <c r="BM43" s="87"/>
      <c r="BN43" s="87"/>
      <c r="BO43" s="87"/>
      <c r="BP43" s="87"/>
    </row>
    <row r="44" spans="1:68" s="2" customFormat="1" ht="19.5" customHeight="1" x14ac:dyDescent="0.15">
      <c r="A44" s="45"/>
      <c r="B44" s="521" t="e">
        <f>IF(S41&gt;0,S41,口径50mm以下!CV45)</f>
        <v>#N/A</v>
      </c>
      <c r="C44" s="521"/>
      <c r="D44" s="521"/>
      <c r="E44" s="521"/>
      <c r="F44" s="40" t="s">
        <v>30</v>
      </c>
      <c r="G44" s="40"/>
      <c r="H44" s="503"/>
      <c r="I44" s="503"/>
      <c r="J44" s="503"/>
      <c r="K44" s="503"/>
      <c r="L44" s="40" t="s">
        <v>58</v>
      </c>
      <c r="M44" s="40"/>
      <c r="N44" s="522"/>
      <c r="O44" s="522"/>
      <c r="P44" s="522"/>
      <c r="Q44" s="522"/>
      <c r="R44" s="40" t="s">
        <v>290</v>
      </c>
      <c r="S44" s="40" t="s">
        <v>288</v>
      </c>
      <c r="T44" s="520" t="e">
        <f>D29</f>
        <v>#N/A</v>
      </c>
      <c r="U44" s="520"/>
      <c r="V44" s="520"/>
      <c r="W44" s="520"/>
      <c r="X44" s="520"/>
      <c r="Y44" s="46" t="s">
        <v>31</v>
      </c>
      <c r="Z44" s="46"/>
      <c r="AA44" s="515" t="e">
        <f>IF(A53=1,ROUND(B44+H44-N44-T44,1),0)</f>
        <v>#N/A</v>
      </c>
      <c r="AB44" s="515"/>
      <c r="AC44" s="515"/>
      <c r="AD44" s="515"/>
      <c r="AE44" s="515"/>
      <c r="AF44" s="515"/>
      <c r="AG44" s="515"/>
      <c r="AH44" s="46" t="s">
        <v>32</v>
      </c>
      <c r="AI44" s="46"/>
      <c r="AJ44" s="56"/>
      <c r="AK44" s="47"/>
      <c r="AL44" s="60"/>
      <c r="AM44" s="56" t="s">
        <v>260</v>
      </c>
      <c r="AN44" s="56"/>
      <c r="AO44" s="56"/>
      <c r="AP44" s="40"/>
      <c r="AQ44" s="56"/>
      <c r="AR44" s="40"/>
      <c r="AS44" s="40"/>
      <c r="AT44" s="40"/>
      <c r="AU44" s="40"/>
      <c r="AV44" s="40"/>
      <c r="AW44" s="40"/>
      <c r="AX44" s="49"/>
      <c r="AY44" s="60"/>
      <c r="AZ44" s="48"/>
      <c r="BA44" s="48"/>
      <c r="BB44" s="48"/>
      <c r="BC44" s="48"/>
      <c r="BD44" s="285"/>
      <c r="BE44" s="283">
        <v>19.5</v>
      </c>
      <c r="BF44" s="283">
        <v>46.3</v>
      </c>
      <c r="BG44" s="293">
        <v>0.13</v>
      </c>
      <c r="BH44" s="286">
        <v>4.2</v>
      </c>
      <c r="BI44" s="48"/>
      <c r="BJ44" s="91"/>
      <c r="BK44" s="91"/>
      <c r="BL44" s="91"/>
      <c r="BM44" s="91"/>
      <c r="BN44" s="91"/>
      <c r="BO44" s="91"/>
      <c r="BP44" s="91"/>
    </row>
    <row r="45" spans="1:68" ht="16.5" customHeight="1" x14ac:dyDescent="0.15">
      <c r="A45" s="24"/>
      <c r="B45" s="517" t="s">
        <v>293</v>
      </c>
      <c r="C45" s="517"/>
      <c r="D45" s="517"/>
      <c r="E45" s="517"/>
      <c r="F45" s="517"/>
      <c r="G45" s="517"/>
      <c r="H45" s="517"/>
      <c r="I45" s="517"/>
      <c r="J45" s="517"/>
      <c r="K45" s="517"/>
      <c r="L45" s="517"/>
      <c r="M45" s="517"/>
      <c r="N45" s="517"/>
      <c r="O45" s="517"/>
      <c r="P45" s="517"/>
      <c r="Q45" s="517"/>
      <c r="R45" s="517"/>
      <c r="S45" s="517"/>
      <c r="T45" s="517"/>
      <c r="U45" s="517"/>
      <c r="V45" s="517"/>
      <c r="W45" s="517"/>
      <c r="X45" s="517"/>
      <c r="Y45" s="517"/>
      <c r="Z45" s="517"/>
      <c r="AA45" s="517"/>
      <c r="AB45" s="517"/>
      <c r="AC45" s="517"/>
      <c r="AD45" s="517"/>
      <c r="AE45" s="517"/>
      <c r="AF45" s="517"/>
      <c r="AG45" s="517"/>
      <c r="AH45" s="517"/>
      <c r="AI45" s="517"/>
      <c r="AJ45" s="517"/>
      <c r="AK45" s="517"/>
      <c r="AL45" s="517"/>
      <c r="AM45" s="517"/>
      <c r="AN45" s="517"/>
      <c r="AO45" s="517"/>
      <c r="AP45" s="517"/>
      <c r="AQ45" s="517"/>
      <c r="AR45" s="517"/>
      <c r="AS45" s="517"/>
      <c r="AT45" s="517"/>
      <c r="AU45" s="517"/>
      <c r="AV45" s="517"/>
      <c r="AW45" s="517"/>
      <c r="AX45" s="7"/>
      <c r="AY45" s="5"/>
      <c r="AZ45" s="3"/>
      <c r="BA45" s="3"/>
      <c r="BB45" s="3"/>
      <c r="BC45" s="3"/>
      <c r="BD45" s="284"/>
      <c r="BE45" s="283">
        <v>20</v>
      </c>
      <c r="BF45" s="283">
        <v>46.2</v>
      </c>
      <c r="BG45" s="293">
        <v>0.12</v>
      </c>
      <c r="BH45" s="283">
        <v>4.3</v>
      </c>
      <c r="BI45" s="3"/>
      <c r="BJ45" s="87"/>
      <c r="BK45" s="93"/>
      <c r="BL45" s="93"/>
      <c r="BM45" s="93"/>
      <c r="BN45" s="93"/>
      <c r="BO45" s="93"/>
      <c r="BP45" s="93"/>
    </row>
    <row r="46" spans="1:68" ht="13.5" customHeight="1" x14ac:dyDescent="0.15">
      <c r="A46" s="24"/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8"/>
      <c r="Z46" s="518"/>
      <c r="AA46" s="518"/>
      <c r="AB46" s="518"/>
      <c r="AC46" s="518"/>
      <c r="AD46" s="518"/>
      <c r="AE46" s="518"/>
      <c r="AF46" s="518"/>
      <c r="AG46" s="518"/>
      <c r="AH46" s="518"/>
      <c r="AI46" s="518"/>
      <c r="AJ46" s="518"/>
      <c r="AK46" s="518"/>
      <c r="AL46" s="518"/>
      <c r="AM46" s="518"/>
      <c r="AN46" s="518"/>
      <c r="AO46" s="518"/>
      <c r="AP46" s="518"/>
      <c r="AQ46" s="518"/>
      <c r="AR46" s="518"/>
      <c r="AS46" s="518"/>
      <c r="AT46" s="518"/>
      <c r="AU46" s="518"/>
      <c r="AV46" s="518"/>
      <c r="AW46" s="518"/>
      <c r="AX46" s="7"/>
      <c r="AY46" s="5"/>
      <c r="AZ46" s="3"/>
      <c r="BA46" s="3"/>
      <c r="BB46" s="3"/>
      <c r="BC46" s="3"/>
      <c r="BD46" s="284"/>
      <c r="BE46" s="283">
        <v>20.5</v>
      </c>
      <c r="BF46" s="283">
        <v>46.1</v>
      </c>
      <c r="BG46" s="293">
        <v>0.11</v>
      </c>
      <c r="BH46" s="283">
        <v>4.4000000000000004</v>
      </c>
      <c r="BI46" s="3"/>
      <c r="BJ46" s="87"/>
      <c r="BK46" s="87"/>
      <c r="BL46" s="87"/>
      <c r="BM46" s="87"/>
      <c r="BN46" s="87"/>
      <c r="BO46" s="87"/>
      <c r="BP46" s="87"/>
    </row>
    <row r="47" spans="1:68" ht="14.25" customHeight="1" x14ac:dyDescent="0.15">
      <c r="A47" s="24"/>
      <c r="B47" s="518"/>
      <c r="C47" s="518"/>
      <c r="D47" s="518"/>
      <c r="E47" s="518"/>
      <c r="F47" s="518"/>
      <c r="G47" s="518"/>
      <c r="H47" s="518"/>
      <c r="I47" s="518"/>
      <c r="J47" s="518"/>
      <c r="K47" s="518"/>
      <c r="L47" s="518"/>
      <c r="M47" s="518"/>
      <c r="N47" s="518"/>
      <c r="O47" s="518"/>
      <c r="P47" s="518"/>
      <c r="Q47" s="518"/>
      <c r="R47" s="518"/>
      <c r="S47" s="518"/>
      <c r="T47" s="518"/>
      <c r="U47" s="518"/>
      <c r="V47" s="518"/>
      <c r="W47" s="518"/>
      <c r="X47" s="518"/>
      <c r="Y47" s="518"/>
      <c r="Z47" s="518"/>
      <c r="AA47" s="518"/>
      <c r="AB47" s="518"/>
      <c r="AC47" s="518"/>
      <c r="AD47" s="518"/>
      <c r="AE47" s="518"/>
      <c r="AF47" s="518"/>
      <c r="AG47" s="518"/>
      <c r="AH47" s="518"/>
      <c r="AI47" s="518"/>
      <c r="AJ47" s="518"/>
      <c r="AK47" s="518"/>
      <c r="AL47" s="518"/>
      <c r="AM47" s="518"/>
      <c r="AN47" s="518"/>
      <c r="AO47" s="518"/>
      <c r="AP47" s="518"/>
      <c r="AQ47" s="518"/>
      <c r="AR47" s="518"/>
      <c r="AS47" s="518"/>
      <c r="AT47" s="518"/>
      <c r="AU47" s="518"/>
      <c r="AV47" s="518"/>
      <c r="AW47" s="518"/>
      <c r="AX47" s="7"/>
      <c r="AY47" s="5"/>
      <c r="AZ47" s="3"/>
      <c r="BA47" s="3"/>
      <c r="BB47" s="3"/>
      <c r="BC47" s="3"/>
      <c r="BD47" s="284"/>
      <c r="BE47" s="283">
        <v>21</v>
      </c>
      <c r="BF47" s="283">
        <v>46</v>
      </c>
      <c r="BG47" s="293">
        <v>0.1</v>
      </c>
      <c r="BH47" s="283">
        <v>4.5</v>
      </c>
      <c r="BI47" s="3"/>
      <c r="BJ47" s="87"/>
      <c r="BK47" s="87"/>
      <c r="BL47" s="87"/>
      <c r="BM47" s="87"/>
      <c r="BN47" s="87"/>
      <c r="BO47" s="87"/>
      <c r="BP47" s="87"/>
    </row>
    <row r="48" spans="1:68" ht="18" customHeight="1" x14ac:dyDescent="0.15">
      <c r="A48" s="24"/>
      <c r="B48" s="519"/>
      <c r="C48" s="519"/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19"/>
      <c r="AC48" s="519"/>
      <c r="AD48" s="519"/>
      <c r="AE48" s="519"/>
      <c r="AF48" s="519"/>
      <c r="AG48" s="519"/>
      <c r="AH48" s="519"/>
      <c r="AI48" s="519"/>
      <c r="AJ48" s="519"/>
      <c r="AK48" s="519"/>
      <c r="AL48" s="519"/>
      <c r="AM48" s="519"/>
      <c r="AN48" s="519"/>
      <c r="AO48" s="519"/>
      <c r="AP48" s="519"/>
      <c r="AQ48" s="519"/>
      <c r="AR48" s="519"/>
      <c r="AS48" s="519"/>
      <c r="AT48" s="519"/>
      <c r="AU48" s="519"/>
      <c r="AV48" s="519"/>
      <c r="AW48" s="519"/>
      <c r="AX48" s="7"/>
      <c r="AY48" s="5"/>
      <c r="AZ48" s="3"/>
      <c r="BA48" s="3"/>
      <c r="BB48" s="3"/>
      <c r="BC48" s="3"/>
      <c r="BD48" s="284"/>
      <c r="BE48" s="283">
        <v>21.5</v>
      </c>
      <c r="BF48" s="283">
        <v>45.9</v>
      </c>
      <c r="BG48" s="293">
        <v>0.09</v>
      </c>
      <c r="BH48" s="283">
        <v>4.5999999999999996</v>
      </c>
      <c r="BI48" s="3"/>
    </row>
    <row r="49" spans="1:61" ht="3" customHeight="1" x14ac:dyDescent="0.15">
      <c r="A49" s="24"/>
      <c r="B49" s="236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5"/>
      <c r="Y49" s="235"/>
      <c r="Z49" s="235"/>
      <c r="AA49" s="235"/>
      <c r="AB49" s="235"/>
      <c r="AC49" s="235"/>
      <c r="AD49" s="235"/>
      <c r="AE49" s="235"/>
      <c r="AF49" s="237"/>
      <c r="AG49" s="237"/>
      <c r="AH49" s="235"/>
      <c r="AI49" s="235"/>
      <c r="AJ49" s="235"/>
      <c r="AK49" s="237"/>
      <c r="AL49" s="237"/>
      <c r="AM49" s="235"/>
      <c r="AN49" s="235"/>
      <c r="AO49" s="235"/>
      <c r="AP49" s="237"/>
      <c r="AQ49" s="237"/>
      <c r="AR49" s="99"/>
      <c r="AS49" s="100"/>
      <c r="AT49" s="3"/>
      <c r="AU49" s="3"/>
      <c r="AV49" s="3"/>
      <c r="AW49" s="236"/>
      <c r="AX49" s="7"/>
      <c r="AY49" s="5"/>
      <c r="AZ49" s="3"/>
      <c r="BA49" s="3"/>
      <c r="BB49" s="3"/>
      <c r="BC49" s="3"/>
      <c r="BD49" s="284"/>
      <c r="BE49" s="283"/>
      <c r="BF49" s="283"/>
      <c r="BG49" s="293">
        <v>0.08</v>
      </c>
      <c r="BH49" s="283"/>
      <c r="BI49" s="3"/>
    </row>
    <row r="50" spans="1:61" ht="15" customHeight="1" x14ac:dyDescent="0.15">
      <c r="A50" s="24"/>
      <c r="B50" s="239"/>
      <c r="C50" s="239"/>
      <c r="D50" s="239"/>
      <c r="E50" s="239"/>
      <c r="F50" s="239"/>
      <c r="G50" s="3"/>
      <c r="H50" s="3"/>
      <c r="I50" s="3"/>
      <c r="J50" s="3"/>
      <c r="K50" s="3"/>
      <c r="L50" s="239"/>
      <c r="M50" s="239"/>
      <c r="N50" s="239"/>
      <c r="O50" s="239"/>
      <c r="P50" s="3"/>
      <c r="Q50" s="3"/>
      <c r="R50" s="314"/>
      <c r="S50" s="314"/>
      <c r="T50" s="314"/>
      <c r="U50" s="314"/>
      <c r="V50" s="314"/>
      <c r="W50" s="3"/>
      <c r="X50" s="493"/>
      <c r="Y50" s="493"/>
      <c r="Z50" s="493"/>
      <c r="AA50" s="493"/>
      <c r="AB50" s="493"/>
      <c r="AC50" s="494"/>
      <c r="AD50" s="494"/>
      <c r="AE50" s="494"/>
      <c r="AF50" s="492" t="s">
        <v>96</v>
      </c>
      <c r="AG50" s="492"/>
      <c r="AH50" s="494"/>
      <c r="AI50" s="494"/>
      <c r="AJ50" s="494"/>
      <c r="AK50" s="492" t="s">
        <v>97</v>
      </c>
      <c r="AL50" s="492"/>
      <c r="AM50" s="494"/>
      <c r="AN50" s="494"/>
      <c r="AO50" s="494"/>
      <c r="AP50" s="492" t="s">
        <v>98</v>
      </c>
      <c r="AQ50" s="492"/>
      <c r="AR50" s="315"/>
      <c r="AS50" s="315"/>
      <c r="AT50" s="315"/>
      <c r="AU50" s="315"/>
      <c r="AV50" s="315"/>
      <c r="AW50" s="315"/>
      <c r="AX50" s="7"/>
      <c r="AY50" s="5"/>
      <c r="AZ50" s="3"/>
      <c r="BA50" s="3"/>
      <c r="BB50" s="3"/>
      <c r="BC50" s="3"/>
      <c r="BD50" s="284"/>
      <c r="BE50" s="283">
        <v>22</v>
      </c>
      <c r="BF50" s="283">
        <v>45.8</v>
      </c>
      <c r="BG50" s="293">
        <v>7.0000000000000007E-2</v>
      </c>
      <c r="BH50" s="283">
        <v>4.7</v>
      </c>
      <c r="BI50" s="3"/>
    </row>
    <row r="51" spans="1:61" ht="5.25" customHeight="1" x14ac:dyDescent="0.15">
      <c r="A51" s="24"/>
      <c r="B51" s="239"/>
      <c r="C51" s="239"/>
      <c r="D51" s="239"/>
      <c r="E51" s="239"/>
      <c r="F51" s="239"/>
      <c r="G51" s="3"/>
      <c r="H51" s="3"/>
      <c r="I51" s="3"/>
      <c r="J51" s="3"/>
      <c r="K51" s="3"/>
      <c r="L51" s="239"/>
      <c r="M51" s="239"/>
      <c r="N51" s="239"/>
      <c r="O51" s="239"/>
      <c r="P51" s="3"/>
      <c r="Q51" s="3"/>
      <c r="R51" s="356" t="s">
        <v>291</v>
      </c>
      <c r="S51" s="495"/>
      <c r="T51" s="495"/>
      <c r="U51" s="495"/>
      <c r="V51" s="495"/>
      <c r="W51" s="3"/>
      <c r="X51" s="60"/>
      <c r="Y51" s="3"/>
      <c r="Z51" s="3"/>
      <c r="AA51" s="3"/>
      <c r="AB51" s="239"/>
      <c r="AC51" s="239"/>
      <c r="AD51" s="239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3"/>
      <c r="AW51" s="239"/>
      <c r="AX51" s="7"/>
      <c r="AY51" s="5"/>
      <c r="AZ51" s="3"/>
      <c r="BA51" s="3"/>
      <c r="BB51" s="3"/>
      <c r="BC51" s="3"/>
      <c r="BD51" s="284"/>
      <c r="BE51" s="283">
        <v>22.5</v>
      </c>
      <c r="BF51" s="283">
        <v>45.7</v>
      </c>
      <c r="BG51" s="293">
        <v>0.06</v>
      </c>
      <c r="BH51" s="283">
        <v>4.8</v>
      </c>
      <c r="BI51" s="3"/>
    </row>
    <row r="52" spans="1:61" ht="19.5" customHeight="1" thickBot="1" x14ac:dyDescent="0.2">
      <c r="A52" s="25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496"/>
      <c r="S52" s="496"/>
      <c r="T52" s="496"/>
      <c r="U52" s="496"/>
      <c r="V52" s="496"/>
      <c r="W52" s="59"/>
      <c r="X52" s="98" t="s">
        <v>95</v>
      </c>
      <c r="Y52" s="59"/>
      <c r="Z52" s="59"/>
      <c r="AA52" s="59"/>
      <c r="AB52" s="507"/>
      <c r="AC52" s="508"/>
      <c r="AD52" s="508"/>
      <c r="AE52" s="508"/>
      <c r="AF52" s="508"/>
      <c r="AG52" s="508"/>
      <c r="AH52" s="508"/>
      <c r="AI52" s="508"/>
      <c r="AJ52" s="508"/>
      <c r="AK52" s="508"/>
      <c r="AL52" s="508"/>
      <c r="AM52" s="508"/>
      <c r="AN52" s="508"/>
      <c r="AO52" s="508"/>
      <c r="AP52" s="101"/>
      <c r="AQ52" s="98"/>
      <c r="AR52" s="98"/>
      <c r="AS52" s="98"/>
      <c r="AT52" s="50"/>
      <c r="AU52" s="98"/>
      <c r="AV52" s="59"/>
      <c r="AW52" s="59"/>
      <c r="AX52" s="26"/>
      <c r="AY52" s="5"/>
      <c r="AZ52" s="3"/>
      <c r="BA52" s="3"/>
      <c r="BB52" s="3"/>
      <c r="BC52" s="3"/>
      <c r="BD52" s="284"/>
      <c r="BE52" s="283">
        <v>23</v>
      </c>
      <c r="BF52" s="283">
        <v>45.6</v>
      </c>
      <c r="BG52" s="293">
        <v>0.05</v>
      </c>
      <c r="BH52" s="283">
        <v>4.9000000000000004</v>
      </c>
      <c r="BI52" s="3"/>
    </row>
    <row r="53" spans="1:61" ht="16.5" customHeight="1" x14ac:dyDescent="0.15">
      <c r="A53" s="1" t="e">
        <f>IF(AND(AG2&gt;0,AL17&gt;0,AK22&gt;0),1,0)</f>
        <v>#N/A</v>
      </c>
      <c r="AY53" s="61"/>
      <c r="BD53" s="284"/>
      <c r="BE53" s="283">
        <v>23.5</v>
      </c>
      <c r="BF53" s="283">
        <v>45.5</v>
      </c>
      <c r="BG53" s="293">
        <v>0.04</v>
      </c>
      <c r="BH53" s="283">
        <v>5</v>
      </c>
      <c r="BI53" s="3"/>
    </row>
    <row r="54" spans="1:61" ht="16.5" customHeight="1" x14ac:dyDescent="0.15">
      <c r="AY54" s="61"/>
      <c r="BD54" s="284"/>
      <c r="BE54" s="283">
        <v>24</v>
      </c>
      <c r="BF54" s="283">
        <v>45.4</v>
      </c>
      <c r="BG54" s="293">
        <v>0.03</v>
      </c>
      <c r="BH54" s="283">
        <v>5.0999999999999996</v>
      </c>
      <c r="BI54" s="3"/>
    </row>
    <row r="55" spans="1:61" ht="14.25" x14ac:dyDescent="0.15">
      <c r="A55" s="67"/>
      <c r="AC55" s="1" t="s">
        <v>289</v>
      </c>
      <c r="AY55" s="61"/>
      <c r="BD55" s="284"/>
      <c r="BE55" s="283">
        <v>24.5</v>
      </c>
      <c r="BF55" s="283">
        <v>45.3</v>
      </c>
      <c r="BG55" s="293">
        <v>0.02</v>
      </c>
      <c r="BH55" s="283">
        <v>5.2</v>
      </c>
      <c r="BI55" s="3"/>
    </row>
    <row r="56" spans="1:61" ht="14.25" x14ac:dyDescent="0.15">
      <c r="A56" s="67"/>
      <c r="AY56" s="61"/>
      <c r="BD56" s="284"/>
      <c r="BE56" s="283">
        <v>25</v>
      </c>
      <c r="BF56" s="283">
        <v>45.199999999999996</v>
      </c>
      <c r="BG56" s="293">
        <v>0.01</v>
      </c>
      <c r="BH56" s="283">
        <v>5.3</v>
      </c>
      <c r="BI56" s="3"/>
    </row>
    <row r="57" spans="1:61" x14ac:dyDescent="0.15">
      <c r="AV57" s="356"/>
      <c r="AW57" s="356"/>
      <c r="AY57" s="61"/>
      <c r="BD57" s="284"/>
      <c r="BE57" s="283">
        <v>25.5</v>
      </c>
      <c r="BF57" s="283">
        <v>45.099999999999994</v>
      </c>
      <c r="BG57" s="283">
        <v>0.1</v>
      </c>
      <c r="BH57" s="283">
        <v>5.4</v>
      </c>
      <c r="BI57" s="3"/>
    </row>
    <row r="58" spans="1:61" x14ac:dyDescent="0.15">
      <c r="AV58" s="356"/>
      <c r="AW58" s="356"/>
      <c r="AY58" s="61"/>
      <c r="BD58" s="284"/>
      <c r="BE58" s="283">
        <v>26</v>
      </c>
      <c r="BF58" s="283">
        <v>44.999999999999993</v>
      </c>
      <c r="BG58" s="283"/>
      <c r="BH58" s="283">
        <v>5.5</v>
      </c>
      <c r="BI58" s="3"/>
    </row>
    <row r="59" spans="1:61" x14ac:dyDescent="0.15">
      <c r="AV59" s="356"/>
      <c r="AW59" s="356"/>
      <c r="AY59" s="61"/>
      <c r="BD59" s="284"/>
      <c r="BE59" s="283">
        <v>26.5</v>
      </c>
      <c r="BF59" s="283">
        <v>44.899999999999991</v>
      </c>
      <c r="BG59" s="283"/>
      <c r="BH59" s="283">
        <v>5.6</v>
      </c>
      <c r="BI59" s="3"/>
    </row>
    <row r="60" spans="1:61" x14ac:dyDescent="0.15">
      <c r="AY60" s="61"/>
      <c r="BD60" s="284"/>
      <c r="BE60" s="283">
        <v>27</v>
      </c>
      <c r="BF60" s="283">
        <v>44.79999999999999</v>
      </c>
      <c r="BG60" s="283"/>
      <c r="BH60" s="283">
        <v>5.7</v>
      </c>
      <c r="BI60" s="3"/>
    </row>
    <row r="61" spans="1:61" x14ac:dyDescent="0.15">
      <c r="AY61" s="61"/>
      <c r="BD61" s="284"/>
      <c r="BE61" s="283">
        <v>27.5</v>
      </c>
      <c r="BF61" s="283">
        <v>44.699999999999989</v>
      </c>
      <c r="BG61" s="283"/>
      <c r="BH61" s="283">
        <v>5.8</v>
      </c>
      <c r="BI61" s="3"/>
    </row>
    <row r="62" spans="1:61" x14ac:dyDescent="0.15">
      <c r="AY62" s="61"/>
      <c r="BD62" s="284"/>
      <c r="BE62" s="283">
        <v>28</v>
      </c>
      <c r="BF62" s="283">
        <v>44.599999999999987</v>
      </c>
      <c r="BG62" s="283"/>
      <c r="BH62" s="283">
        <v>5.9</v>
      </c>
      <c r="BI62" s="3"/>
    </row>
    <row r="63" spans="1:61" x14ac:dyDescent="0.15">
      <c r="AY63" s="61"/>
      <c r="BD63" s="284"/>
      <c r="BE63" s="283">
        <v>28.5</v>
      </c>
      <c r="BF63" s="283">
        <v>44.499999999999986</v>
      </c>
      <c r="BG63" s="283"/>
      <c r="BH63" s="283">
        <v>6</v>
      </c>
      <c r="BI63" s="3"/>
    </row>
    <row r="64" spans="1:61" x14ac:dyDescent="0.15">
      <c r="AY64" s="61"/>
      <c r="BD64" s="284"/>
      <c r="BE64" s="283">
        <v>29</v>
      </c>
      <c r="BF64" s="283">
        <v>44.399999999999984</v>
      </c>
      <c r="BG64" s="283"/>
      <c r="BH64" s="283">
        <v>6.1</v>
      </c>
      <c r="BI64" s="3"/>
    </row>
    <row r="65" spans="51:61" x14ac:dyDescent="0.15">
      <c r="AY65" s="61"/>
      <c r="BD65" s="284"/>
      <c r="BE65" s="283">
        <v>29.5</v>
      </c>
      <c r="BF65" s="283">
        <v>44.299999999999983</v>
      </c>
      <c r="BG65" s="283"/>
      <c r="BH65" s="283">
        <v>6.2</v>
      </c>
      <c r="BI65" s="3"/>
    </row>
    <row r="66" spans="51:61" x14ac:dyDescent="0.15">
      <c r="AY66" s="61"/>
      <c r="BD66" s="284"/>
      <c r="BE66" s="283">
        <v>30</v>
      </c>
      <c r="BF66" s="283">
        <v>44.199999999999982</v>
      </c>
      <c r="BG66" s="283"/>
      <c r="BH66" s="283">
        <v>6.3</v>
      </c>
      <c r="BI66" s="3"/>
    </row>
    <row r="67" spans="51:61" x14ac:dyDescent="0.15">
      <c r="AY67" s="61"/>
      <c r="BD67" s="284"/>
      <c r="BE67" s="283">
        <v>30.5</v>
      </c>
      <c r="BF67" s="283">
        <v>44.09999999999998</v>
      </c>
      <c r="BG67" s="283"/>
      <c r="BH67" s="283">
        <v>6.4</v>
      </c>
      <c r="BI67" s="3"/>
    </row>
    <row r="68" spans="51:61" x14ac:dyDescent="0.15">
      <c r="AY68" s="61"/>
      <c r="BD68" s="284"/>
      <c r="BE68" s="283">
        <v>31</v>
      </c>
      <c r="BF68" s="283">
        <v>43.999999999999979</v>
      </c>
      <c r="BG68" s="283"/>
      <c r="BH68" s="283">
        <v>6.5</v>
      </c>
      <c r="BI68" s="3"/>
    </row>
    <row r="69" spans="51:61" x14ac:dyDescent="0.15">
      <c r="AY69" s="61"/>
      <c r="BD69" s="284"/>
      <c r="BE69" s="283">
        <v>31.5</v>
      </c>
      <c r="BF69" s="283">
        <v>43.899999999999977</v>
      </c>
      <c r="BG69" s="283"/>
      <c r="BH69" s="283">
        <v>6.6</v>
      </c>
      <c r="BI69" s="3"/>
    </row>
    <row r="70" spans="51:61" x14ac:dyDescent="0.15">
      <c r="AY70" s="61"/>
      <c r="BD70" s="284"/>
      <c r="BE70" s="283">
        <v>32</v>
      </c>
      <c r="BF70" s="283">
        <v>43.799999999999976</v>
      </c>
      <c r="BG70" s="283"/>
      <c r="BH70" s="283">
        <v>6.7</v>
      </c>
      <c r="BI70" s="3"/>
    </row>
    <row r="71" spans="51:61" x14ac:dyDescent="0.15">
      <c r="AY71" s="61"/>
      <c r="BD71" s="284"/>
      <c r="BE71" s="283">
        <v>32.5</v>
      </c>
      <c r="BF71" s="283">
        <v>43.699999999999974</v>
      </c>
      <c r="BG71" s="283"/>
      <c r="BH71" s="283">
        <v>6.8</v>
      </c>
      <c r="BI71" s="3"/>
    </row>
    <row r="72" spans="51:61" x14ac:dyDescent="0.15">
      <c r="AY72" s="61"/>
      <c r="BD72" s="284"/>
      <c r="BE72" s="283">
        <v>33</v>
      </c>
      <c r="BF72" s="283">
        <v>43.599999999999973</v>
      </c>
      <c r="BG72" s="283"/>
      <c r="BH72" s="283">
        <v>6.9</v>
      </c>
      <c r="BI72" s="3"/>
    </row>
    <row r="73" spans="51:61" x14ac:dyDescent="0.15">
      <c r="AY73" s="61"/>
      <c r="BD73" s="284"/>
      <c r="BE73" s="283">
        <v>33.5</v>
      </c>
      <c r="BF73" s="283">
        <v>43.499999999999972</v>
      </c>
      <c r="BG73" s="283"/>
      <c r="BH73" s="283">
        <v>7</v>
      </c>
      <c r="BI73" s="3"/>
    </row>
    <row r="74" spans="51:61" x14ac:dyDescent="0.15">
      <c r="AY74" s="61"/>
      <c r="BD74" s="284"/>
      <c r="BE74" s="283">
        <v>34</v>
      </c>
      <c r="BF74" s="283">
        <v>43.39999999999997</v>
      </c>
      <c r="BG74" s="283"/>
      <c r="BH74" s="283">
        <v>7.1</v>
      </c>
      <c r="BI74" s="3"/>
    </row>
    <row r="75" spans="51:61" x14ac:dyDescent="0.15">
      <c r="AY75" s="61"/>
      <c r="BD75" s="284"/>
      <c r="BE75" s="283">
        <v>34.5</v>
      </c>
      <c r="BF75" s="283">
        <v>43.299999999999969</v>
      </c>
      <c r="BG75" s="283"/>
      <c r="BH75" s="283">
        <v>7.2</v>
      </c>
      <c r="BI75" s="3"/>
    </row>
    <row r="76" spans="51:61" x14ac:dyDescent="0.15">
      <c r="AY76" s="61"/>
      <c r="BD76" s="284"/>
      <c r="BE76" s="283">
        <v>35</v>
      </c>
      <c r="BF76" s="283">
        <v>43.199999999999967</v>
      </c>
      <c r="BG76" s="283"/>
      <c r="BH76" s="283">
        <v>7.3</v>
      </c>
      <c r="BI76" s="3"/>
    </row>
    <row r="77" spans="51:61" x14ac:dyDescent="0.15">
      <c r="AY77" s="61"/>
      <c r="BD77" s="284"/>
      <c r="BE77" s="283">
        <v>35.5</v>
      </c>
      <c r="BF77" s="283">
        <v>43.099999999999966</v>
      </c>
      <c r="BG77" s="283"/>
      <c r="BH77" s="283">
        <v>7.4</v>
      </c>
      <c r="BI77" s="3"/>
    </row>
    <row r="78" spans="51:61" x14ac:dyDescent="0.15">
      <c r="AY78" s="61"/>
      <c r="BD78" s="284"/>
      <c r="BE78" s="283">
        <v>36</v>
      </c>
      <c r="BF78" s="283">
        <v>42.999999999999964</v>
      </c>
      <c r="BG78" s="283"/>
      <c r="BH78" s="283">
        <v>7.5</v>
      </c>
      <c r="BI78" s="3"/>
    </row>
    <row r="79" spans="51:61" x14ac:dyDescent="0.15">
      <c r="AY79" s="61"/>
      <c r="BD79" s="284"/>
      <c r="BE79" s="283">
        <v>36.5</v>
      </c>
      <c r="BF79" s="283">
        <v>42.899999999999963</v>
      </c>
      <c r="BG79" s="283"/>
      <c r="BH79" s="283">
        <v>7.6</v>
      </c>
      <c r="BI79" s="3"/>
    </row>
    <row r="80" spans="51:61" x14ac:dyDescent="0.15">
      <c r="AY80" s="61"/>
      <c r="BD80" s="284"/>
      <c r="BE80" s="283">
        <v>37</v>
      </c>
      <c r="BF80" s="283">
        <v>42.799999999999962</v>
      </c>
      <c r="BG80" s="283"/>
      <c r="BH80" s="283">
        <v>7.7</v>
      </c>
      <c r="BI80" s="3"/>
    </row>
    <row r="81" spans="51:61" x14ac:dyDescent="0.15">
      <c r="AY81" s="61"/>
      <c r="BD81" s="284"/>
      <c r="BE81" s="283">
        <v>37.5</v>
      </c>
      <c r="BF81" s="283">
        <v>42.69999999999996</v>
      </c>
      <c r="BG81" s="283"/>
      <c r="BH81" s="283">
        <v>7.8</v>
      </c>
      <c r="BI81" s="3"/>
    </row>
    <row r="82" spans="51:61" x14ac:dyDescent="0.15">
      <c r="AY82" s="61"/>
      <c r="BD82" s="284"/>
      <c r="BE82" s="283">
        <v>38</v>
      </c>
      <c r="BF82" s="283">
        <v>42.599999999999959</v>
      </c>
      <c r="BG82" s="283"/>
      <c r="BH82" s="283">
        <v>7.9</v>
      </c>
      <c r="BI82" s="3"/>
    </row>
    <row r="83" spans="51:61" x14ac:dyDescent="0.15">
      <c r="AY83" s="61"/>
      <c r="BD83" s="284"/>
      <c r="BE83" s="283">
        <v>38.5</v>
      </c>
      <c r="BF83" s="283">
        <v>42.499999999999957</v>
      </c>
      <c r="BG83" s="283"/>
      <c r="BH83" s="283">
        <v>8</v>
      </c>
      <c r="BI83" s="3"/>
    </row>
    <row r="84" spans="51:61" x14ac:dyDescent="0.15">
      <c r="AY84" s="61"/>
      <c r="BD84" s="284"/>
      <c r="BE84" s="283">
        <v>39</v>
      </c>
      <c r="BF84" s="283">
        <v>42.399999999999956</v>
      </c>
      <c r="BG84" s="283"/>
      <c r="BH84" s="283">
        <v>8.1</v>
      </c>
      <c r="BI84" s="3"/>
    </row>
    <row r="85" spans="51:61" x14ac:dyDescent="0.15">
      <c r="AY85" s="61"/>
      <c r="BD85" s="284"/>
      <c r="BE85" s="283">
        <v>39.5</v>
      </c>
      <c r="BF85" s="283">
        <v>42.299999999999955</v>
      </c>
      <c r="BG85" s="283"/>
      <c r="BH85" s="283">
        <v>8.1999999999999993</v>
      </c>
      <c r="BI85" s="3"/>
    </row>
    <row r="86" spans="51:61" x14ac:dyDescent="0.15">
      <c r="AY86" s="61"/>
      <c r="BD86" s="284"/>
      <c r="BE86" s="283">
        <v>40</v>
      </c>
      <c r="BF86" s="283">
        <v>42.199999999999953</v>
      </c>
      <c r="BG86" s="283"/>
      <c r="BH86" s="283">
        <v>8.3000000000000007</v>
      </c>
      <c r="BI86" s="3"/>
    </row>
    <row r="87" spans="51:61" x14ac:dyDescent="0.15">
      <c r="AY87" s="61"/>
      <c r="BD87" s="284"/>
      <c r="BE87" s="283">
        <v>40.5</v>
      </c>
      <c r="BF87" s="283">
        <v>42.099999999999952</v>
      </c>
      <c r="BG87" s="283"/>
      <c r="BH87" s="283">
        <v>8.4</v>
      </c>
      <c r="BI87" s="3"/>
    </row>
    <row r="88" spans="51:61" x14ac:dyDescent="0.15">
      <c r="AY88" s="61"/>
      <c r="BC88" s="83"/>
      <c r="BD88" s="284"/>
      <c r="BE88" s="283">
        <v>41</v>
      </c>
      <c r="BF88" s="283">
        <v>41.99999999999995</v>
      </c>
      <c r="BG88" s="283"/>
      <c r="BH88" s="283">
        <v>8.5</v>
      </c>
      <c r="BI88" s="3"/>
    </row>
    <row r="89" spans="51:61" x14ac:dyDescent="0.15">
      <c r="AY89" s="61"/>
      <c r="BC89" s="83"/>
      <c r="BD89" s="284"/>
      <c r="BE89" s="283">
        <v>41.5</v>
      </c>
      <c r="BF89" s="283">
        <v>41.9</v>
      </c>
      <c r="BG89" s="283"/>
      <c r="BH89" s="283">
        <v>8.6</v>
      </c>
      <c r="BI89" s="3"/>
    </row>
    <row r="90" spans="51:61" x14ac:dyDescent="0.15">
      <c r="AY90" s="61"/>
      <c r="BC90" s="83"/>
      <c r="BD90" s="284"/>
      <c r="BE90" s="283">
        <v>42</v>
      </c>
      <c r="BF90" s="283">
        <v>41.8</v>
      </c>
      <c r="BG90" s="283"/>
      <c r="BH90" s="283">
        <v>8.6999999999999993</v>
      </c>
      <c r="BI90" s="3"/>
    </row>
    <row r="91" spans="51:61" x14ac:dyDescent="0.15">
      <c r="AY91" s="61"/>
      <c r="BC91" s="83"/>
      <c r="BD91" s="284"/>
      <c r="BE91" s="283">
        <v>42.5</v>
      </c>
      <c r="BF91" s="283">
        <v>41.699999999999996</v>
      </c>
      <c r="BG91" s="283"/>
      <c r="BH91" s="283">
        <v>8.8000000000000007</v>
      </c>
      <c r="BI91" s="3"/>
    </row>
    <row r="92" spans="51:61" x14ac:dyDescent="0.15">
      <c r="AY92" s="61"/>
      <c r="BC92" s="83"/>
      <c r="BD92" s="284"/>
      <c r="BE92" s="283">
        <v>43</v>
      </c>
      <c r="BF92" s="283">
        <v>41.599999999999994</v>
      </c>
      <c r="BG92" s="283"/>
      <c r="BH92" s="283">
        <v>8.9</v>
      </c>
      <c r="BI92" s="3"/>
    </row>
    <row r="93" spans="51:61" x14ac:dyDescent="0.15">
      <c r="AY93" s="61"/>
      <c r="BC93" s="83"/>
      <c r="BD93" s="284"/>
      <c r="BE93" s="283">
        <v>43.5</v>
      </c>
      <c r="BF93" s="283">
        <v>41.499999999999993</v>
      </c>
      <c r="BG93" s="283"/>
      <c r="BH93" s="283">
        <v>9</v>
      </c>
      <c r="BI93" s="3"/>
    </row>
    <row r="94" spans="51:61" x14ac:dyDescent="0.15">
      <c r="AY94" s="61"/>
      <c r="BC94" s="83"/>
      <c r="BD94" s="284"/>
      <c r="BE94" s="283">
        <v>44</v>
      </c>
      <c r="BF94" s="283">
        <v>41.399999999999991</v>
      </c>
      <c r="BG94" s="283"/>
      <c r="BH94" s="283">
        <v>9.1</v>
      </c>
      <c r="BI94" s="3"/>
    </row>
    <row r="95" spans="51:61" x14ac:dyDescent="0.15">
      <c r="AY95" s="61"/>
      <c r="BC95" s="83"/>
      <c r="BD95" s="284"/>
      <c r="BE95" s="283">
        <v>44.5</v>
      </c>
      <c r="BF95" s="283">
        <v>41.29999999999999</v>
      </c>
      <c r="BG95" s="283"/>
      <c r="BH95" s="283">
        <v>9.1999999999999993</v>
      </c>
      <c r="BI95" s="3"/>
    </row>
    <row r="96" spans="51:61" x14ac:dyDescent="0.15">
      <c r="AY96" s="61"/>
      <c r="BC96" s="83"/>
      <c r="BD96" s="284"/>
      <c r="BE96" s="283">
        <v>45</v>
      </c>
      <c r="BF96" s="283">
        <v>41.199999999999989</v>
      </c>
      <c r="BG96" s="283"/>
      <c r="BH96" s="283">
        <v>9.3000000000000007</v>
      </c>
      <c r="BI96" s="3"/>
    </row>
    <row r="97" spans="51:61" x14ac:dyDescent="0.15">
      <c r="AY97" s="61"/>
      <c r="BC97" s="83"/>
      <c r="BD97" s="284"/>
      <c r="BE97" s="283">
        <v>45.5</v>
      </c>
      <c r="BF97" s="283">
        <v>41.099999999999987</v>
      </c>
      <c r="BG97" s="283"/>
      <c r="BH97" s="283">
        <v>9.4</v>
      </c>
      <c r="BI97" s="3"/>
    </row>
    <row r="98" spans="51:61" x14ac:dyDescent="0.15">
      <c r="AY98" s="61"/>
      <c r="BC98" s="83"/>
      <c r="BD98" s="284"/>
      <c r="BE98" s="283">
        <v>46</v>
      </c>
      <c r="BF98" s="283">
        <v>40.999999999999986</v>
      </c>
      <c r="BG98" s="283"/>
      <c r="BH98" s="283">
        <v>9.5</v>
      </c>
      <c r="BI98" s="3"/>
    </row>
    <row r="99" spans="51:61" x14ac:dyDescent="0.15">
      <c r="AY99" s="61"/>
      <c r="BC99" s="83"/>
      <c r="BD99" s="284"/>
      <c r="BE99" s="283">
        <v>46.5</v>
      </c>
      <c r="BF99" s="283">
        <v>40.899999999999984</v>
      </c>
      <c r="BG99" s="283"/>
      <c r="BH99" s="283">
        <v>9.6</v>
      </c>
      <c r="BI99" s="3"/>
    </row>
    <row r="100" spans="51:61" x14ac:dyDescent="0.15">
      <c r="AY100" s="61"/>
      <c r="BC100" s="83"/>
      <c r="BD100" s="284"/>
      <c r="BE100" s="283">
        <v>47</v>
      </c>
      <c r="BF100" s="283">
        <v>40.799999999999983</v>
      </c>
      <c r="BG100" s="283"/>
      <c r="BH100" s="283">
        <v>9.6999999999999993</v>
      </c>
      <c r="BI100" s="3"/>
    </row>
    <row r="101" spans="51:61" x14ac:dyDescent="0.15">
      <c r="AY101" s="61"/>
      <c r="BC101" s="83"/>
      <c r="BD101" s="284"/>
      <c r="BE101" s="283">
        <v>47.5</v>
      </c>
      <c r="BF101" s="283">
        <v>40.699999999999982</v>
      </c>
      <c r="BG101" s="283"/>
      <c r="BH101" s="283">
        <v>9.8000000000000007</v>
      </c>
      <c r="BI101" s="3"/>
    </row>
    <row r="102" spans="51:61" x14ac:dyDescent="0.15">
      <c r="AY102" s="61"/>
      <c r="BC102" s="83"/>
      <c r="BD102" s="284"/>
      <c r="BE102" s="283">
        <v>48</v>
      </c>
      <c r="BF102" s="283">
        <v>40.59999999999998</v>
      </c>
      <c r="BG102" s="283"/>
      <c r="BH102" s="283">
        <v>9.9</v>
      </c>
      <c r="BI102" s="3"/>
    </row>
    <row r="103" spans="51:61" x14ac:dyDescent="0.15">
      <c r="AY103" s="61"/>
      <c r="BC103" s="83"/>
      <c r="BD103" s="284"/>
      <c r="BE103" s="283">
        <v>48.5</v>
      </c>
      <c r="BF103" s="283">
        <v>40.499999999999979</v>
      </c>
      <c r="BG103" s="283"/>
      <c r="BH103" s="283">
        <v>10</v>
      </c>
      <c r="BI103" s="3"/>
    </row>
    <row r="104" spans="51:61" x14ac:dyDescent="0.15">
      <c r="AY104" s="61"/>
      <c r="BC104" s="83"/>
      <c r="BD104" s="284"/>
      <c r="BE104" s="283">
        <v>49</v>
      </c>
      <c r="BF104" s="283">
        <v>40.399999999999977</v>
      </c>
      <c r="BG104" s="283"/>
      <c r="BH104" s="283">
        <v>10.1</v>
      </c>
      <c r="BI104" s="3"/>
    </row>
    <row r="105" spans="51:61" x14ac:dyDescent="0.15">
      <c r="AY105" s="61"/>
      <c r="BC105" s="83"/>
      <c r="BD105" s="284"/>
      <c r="BE105" s="283">
        <v>49.5</v>
      </c>
      <c r="BF105" s="283">
        <v>40.299999999999976</v>
      </c>
      <c r="BG105" s="283"/>
      <c r="BH105" s="283">
        <v>10.199999999999999</v>
      </c>
      <c r="BI105" s="3"/>
    </row>
    <row r="106" spans="51:61" x14ac:dyDescent="0.15">
      <c r="AY106" s="61"/>
      <c r="BC106" s="83"/>
      <c r="BD106" s="284"/>
      <c r="BE106" s="283">
        <v>50</v>
      </c>
      <c r="BF106" s="283">
        <v>40.199999999999974</v>
      </c>
      <c r="BG106" s="283"/>
      <c r="BH106" s="283">
        <v>10.3</v>
      </c>
      <c r="BI106" s="3"/>
    </row>
    <row r="107" spans="51:61" x14ac:dyDescent="0.15">
      <c r="AY107" s="61"/>
      <c r="BC107" s="83"/>
      <c r="BD107" s="284"/>
      <c r="BE107" s="283">
        <v>50.5</v>
      </c>
      <c r="BF107" s="283">
        <v>40.099999999999973</v>
      </c>
      <c r="BG107" s="283"/>
      <c r="BH107" s="283">
        <v>10.4</v>
      </c>
      <c r="BI107" s="3"/>
    </row>
    <row r="108" spans="51:61" x14ac:dyDescent="0.15">
      <c r="AY108" s="61"/>
      <c r="BC108" s="83"/>
      <c r="BD108" s="284"/>
      <c r="BE108" s="283">
        <v>51</v>
      </c>
      <c r="BF108" s="283">
        <v>39.999999999999972</v>
      </c>
      <c r="BG108" s="283"/>
      <c r="BH108" s="283">
        <v>10.5</v>
      </c>
      <c r="BI108" s="3"/>
    </row>
    <row r="109" spans="51:61" x14ac:dyDescent="0.15">
      <c r="AY109" s="61"/>
      <c r="BC109" s="83"/>
      <c r="BD109" s="284"/>
      <c r="BE109" s="283">
        <v>51.5</v>
      </c>
      <c r="BF109" s="283">
        <v>39.89999999999997</v>
      </c>
      <c r="BG109" s="283"/>
      <c r="BH109" s="283">
        <v>10.6</v>
      </c>
      <c r="BI109" s="3"/>
    </row>
    <row r="110" spans="51:61" x14ac:dyDescent="0.15">
      <c r="AY110" s="61"/>
      <c r="BC110" s="83"/>
      <c r="BD110" s="284"/>
      <c r="BE110" s="283">
        <v>52</v>
      </c>
      <c r="BF110" s="283">
        <v>39.799999999999969</v>
      </c>
      <c r="BG110" s="283"/>
      <c r="BH110" s="283">
        <v>10.7</v>
      </c>
      <c r="BI110" s="3"/>
    </row>
    <row r="111" spans="51:61" x14ac:dyDescent="0.15">
      <c r="AY111" s="61"/>
      <c r="BC111" s="83"/>
      <c r="BD111" s="284"/>
      <c r="BE111" s="283">
        <v>52.5</v>
      </c>
      <c r="BF111" s="283">
        <v>39.699999999999967</v>
      </c>
      <c r="BG111" s="283"/>
      <c r="BH111" s="283">
        <v>10.8</v>
      </c>
      <c r="BI111" s="3"/>
    </row>
    <row r="112" spans="51:61" x14ac:dyDescent="0.15">
      <c r="AY112" s="61"/>
      <c r="BC112" s="83"/>
      <c r="BD112" s="284"/>
      <c r="BE112" s="283">
        <v>53</v>
      </c>
      <c r="BF112" s="283">
        <v>39.599999999999966</v>
      </c>
      <c r="BG112" s="283"/>
      <c r="BH112" s="283">
        <v>10.9</v>
      </c>
      <c r="BI112" s="3"/>
    </row>
    <row r="113" spans="51:61" x14ac:dyDescent="0.15">
      <c r="AY113" s="61"/>
      <c r="BC113" s="83"/>
      <c r="BD113" s="284"/>
      <c r="BE113" s="283">
        <v>53.5</v>
      </c>
      <c r="BF113" s="283">
        <v>39.499999999999964</v>
      </c>
      <c r="BG113" s="283"/>
      <c r="BH113" s="283">
        <v>11</v>
      </c>
      <c r="BI113" s="3"/>
    </row>
    <row r="114" spans="51:61" x14ac:dyDescent="0.15">
      <c r="AY114" s="61"/>
      <c r="BC114" s="83"/>
      <c r="BD114" s="284"/>
      <c r="BE114" s="283">
        <v>54</v>
      </c>
      <c r="BF114" s="283">
        <v>39.399999999999963</v>
      </c>
      <c r="BG114" s="283"/>
      <c r="BH114" s="283">
        <v>11.1</v>
      </c>
      <c r="BI114" s="3"/>
    </row>
    <row r="115" spans="51:61" x14ac:dyDescent="0.15">
      <c r="AY115" s="61"/>
      <c r="BC115" s="83"/>
      <c r="BD115" s="284"/>
      <c r="BE115" s="283">
        <v>54.5</v>
      </c>
      <c r="BF115" s="283">
        <v>39.299999999999962</v>
      </c>
      <c r="BG115" s="283"/>
      <c r="BH115" s="283">
        <v>11.2</v>
      </c>
      <c r="BI115" s="3"/>
    </row>
    <row r="116" spans="51:61" x14ac:dyDescent="0.15">
      <c r="AY116" s="61"/>
      <c r="BC116" s="83"/>
      <c r="BD116" s="284"/>
      <c r="BE116" s="283">
        <v>55</v>
      </c>
      <c r="BF116" s="283">
        <v>39.19999999999996</v>
      </c>
      <c r="BG116" s="283"/>
      <c r="BH116" s="283">
        <v>11.3</v>
      </c>
      <c r="BI116" s="3"/>
    </row>
    <row r="117" spans="51:61" x14ac:dyDescent="0.15">
      <c r="AY117" s="61"/>
      <c r="BC117" s="83"/>
      <c r="BD117" s="284"/>
      <c r="BE117" s="283">
        <v>55.5</v>
      </c>
      <c r="BF117" s="283">
        <v>39.099999999999959</v>
      </c>
      <c r="BG117" s="283"/>
      <c r="BH117" s="283">
        <v>11.4</v>
      </c>
      <c r="BI117" s="3"/>
    </row>
    <row r="118" spans="51:61" x14ac:dyDescent="0.15">
      <c r="AY118" s="61"/>
      <c r="BC118" s="83"/>
      <c r="BD118" s="284"/>
      <c r="BE118" s="283">
        <v>56</v>
      </c>
      <c r="BF118" s="283">
        <v>38.999999999999957</v>
      </c>
      <c r="BG118" s="283"/>
      <c r="BH118" s="283">
        <v>11.5</v>
      </c>
      <c r="BI118" s="3"/>
    </row>
    <row r="119" spans="51:61" x14ac:dyDescent="0.15">
      <c r="AY119" s="61"/>
      <c r="BD119" s="284"/>
      <c r="BE119" s="287">
        <v>56.5</v>
      </c>
      <c r="BF119" s="283">
        <v>38.899999999999956</v>
      </c>
      <c r="BG119" s="283"/>
      <c r="BH119" s="283">
        <v>11.6</v>
      </c>
      <c r="BI119" s="3"/>
    </row>
    <row r="120" spans="51:61" x14ac:dyDescent="0.15">
      <c r="AY120" s="61"/>
      <c r="BD120" s="284"/>
      <c r="BE120" s="287">
        <v>57</v>
      </c>
      <c r="BF120" s="283">
        <v>38.799999999999955</v>
      </c>
      <c r="BG120" s="283"/>
      <c r="BH120" s="283">
        <v>11.7</v>
      </c>
      <c r="BI120" s="3"/>
    </row>
    <row r="121" spans="51:61" x14ac:dyDescent="0.15">
      <c r="AY121" s="61"/>
      <c r="BD121" s="284"/>
      <c r="BE121" s="287">
        <v>57.5</v>
      </c>
      <c r="BF121" s="283">
        <v>38.699999999999953</v>
      </c>
      <c r="BG121" s="283"/>
      <c r="BH121" s="283">
        <v>11.8</v>
      </c>
      <c r="BI121" s="3"/>
    </row>
    <row r="122" spans="51:61" x14ac:dyDescent="0.15">
      <c r="AY122" s="61"/>
      <c r="BD122" s="284"/>
      <c r="BE122" s="287">
        <v>58</v>
      </c>
      <c r="BF122" s="283">
        <v>38.599999999999952</v>
      </c>
      <c r="BG122" s="283"/>
      <c r="BH122" s="283">
        <v>11.9</v>
      </c>
      <c r="BI122" s="3"/>
    </row>
    <row r="123" spans="51:61" x14ac:dyDescent="0.15">
      <c r="AY123" s="61"/>
      <c r="BD123" s="284"/>
      <c r="BE123" s="287">
        <v>58.5</v>
      </c>
      <c r="BF123" s="283">
        <v>38.49999999999995</v>
      </c>
      <c r="BG123" s="283"/>
      <c r="BH123" s="283">
        <v>12</v>
      </c>
      <c r="BI123" s="3"/>
    </row>
    <row r="124" spans="51:61" x14ac:dyDescent="0.15">
      <c r="AY124" s="61"/>
      <c r="BD124" s="284"/>
      <c r="BE124" s="287">
        <v>59</v>
      </c>
      <c r="BF124" s="283">
        <v>38.4</v>
      </c>
      <c r="BG124" s="283"/>
      <c r="BH124" s="283">
        <v>12.1</v>
      </c>
      <c r="BI124" s="3"/>
    </row>
    <row r="125" spans="51:61" x14ac:dyDescent="0.15">
      <c r="AY125" s="61"/>
      <c r="BD125" s="284"/>
      <c r="BE125" s="287">
        <v>59.5</v>
      </c>
      <c r="BF125" s="283">
        <v>38.299999999999997</v>
      </c>
      <c r="BG125" s="283"/>
      <c r="BH125" s="283">
        <v>12.2</v>
      </c>
      <c r="BI125" s="3"/>
    </row>
    <row r="126" spans="51:61" x14ac:dyDescent="0.15">
      <c r="AY126" s="61"/>
      <c r="BD126" s="284"/>
      <c r="BE126" s="287">
        <v>60</v>
      </c>
      <c r="BF126" s="283">
        <v>38.199999999999996</v>
      </c>
      <c r="BG126" s="283"/>
      <c r="BH126" s="283">
        <v>12.3</v>
      </c>
      <c r="BI126" s="3"/>
    </row>
    <row r="127" spans="51:61" x14ac:dyDescent="0.15">
      <c r="AY127" s="61"/>
      <c r="BD127" s="284"/>
      <c r="BE127" s="287">
        <v>60.5</v>
      </c>
      <c r="BF127" s="283">
        <v>38.099999999999994</v>
      </c>
      <c r="BG127" s="283"/>
      <c r="BH127" s="283">
        <v>12.4</v>
      </c>
      <c r="BI127" s="3"/>
    </row>
    <row r="128" spans="51:61" x14ac:dyDescent="0.15">
      <c r="AY128" s="61"/>
      <c r="BD128" s="284"/>
      <c r="BE128" s="287">
        <v>61</v>
      </c>
      <c r="BF128" s="283">
        <v>37.999999999999993</v>
      </c>
      <c r="BG128" s="283"/>
      <c r="BH128" s="283">
        <v>12.5</v>
      </c>
      <c r="BI128" s="3"/>
    </row>
    <row r="129" spans="51:61" x14ac:dyDescent="0.15">
      <c r="AY129" s="61"/>
      <c r="BD129" s="284"/>
      <c r="BE129" s="287">
        <v>61.5</v>
      </c>
      <c r="BF129" s="283">
        <v>37.899999999999991</v>
      </c>
      <c r="BG129" s="283"/>
      <c r="BH129" s="283">
        <v>12.6</v>
      </c>
      <c r="BI129" s="3"/>
    </row>
    <row r="130" spans="51:61" x14ac:dyDescent="0.15">
      <c r="AY130" s="61"/>
      <c r="BD130" s="284"/>
      <c r="BE130" s="287">
        <v>62</v>
      </c>
      <c r="BF130" s="283">
        <v>37.79999999999999</v>
      </c>
      <c r="BG130" s="283"/>
      <c r="BH130" s="283">
        <v>12.7</v>
      </c>
      <c r="BI130" s="3"/>
    </row>
    <row r="131" spans="51:61" x14ac:dyDescent="0.15">
      <c r="AY131" s="61"/>
      <c r="BD131" s="284"/>
      <c r="BE131" s="287">
        <v>62.5</v>
      </c>
      <c r="BF131" s="283">
        <v>37.699999999999989</v>
      </c>
      <c r="BG131" s="283"/>
      <c r="BH131" s="283">
        <v>12.8</v>
      </c>
      <c r="BI131" s="3"/>
    </row>
    <row r="132" spans="51:61" x14ac:dyDescent="0.15">
      <c r="AY132" s="61"/>
      <c r="BD132" s="284"/>
      <c r="BE132" s="287">
        <v>63</v>
      </c>
      <c r="BF132" s="283">
        <v>37.599999999999987</v>
      </c>
      <c r="BG132" s="283"/>
      <c r="BH132" s="283">
        <v>12.9</v>
      </c>
      <c r="BI132" s="3"/>
    </row>
    <row r="133" spans="51:61" x14ac:dyDescent="0.15">
      <c r="AY133" s="61"/>
      <c r="BD133" s="284"/>
      <c r="BE133" s="287">
        <v>63.5</v>
      </c>
      <c r="BF133" s="283">
        <v>37.499999999999986</v>
      </c>
      <c r="BG133" s="283"/>
      <c r="BH133" s="283">
        <v>13</v>
      </c>
      <c r="BI133" s="3"/>
    </row>
    <row r="134" spans="51:61" x14ac:dyDescent="0.15">
      <c r="AY134" s="61"/>
      <c r="BD134" s="284"/>
      <c r="BE134" s="287">
        <v>64</v>
      </c>
      <c r="BF134" s="283">
        <v>37.399999999999984</v>
      </c>
      <c r="BG134" s="283"/>
      <c r="BH134" s="283">
        <v>13.1</v>
      </c>
      <c r="BI134" s="3"/>
    </row>
    <row r="135" spans="51:61" x14ac:dyDescent="0.15">
      <c r="AY135" s="61"/>
      <c r="BD135" s="284"/>
      <c r="BE135" s="287">
        <v>64.5</v>
      </c>
      <c r="BF135" s="283">
        <v>37.299999999999983</v>
      </c>
      <c r="BG135" s="283"/>
      <c r="BH135" s="283">
        <v>13.2</v>
      </c>
      <c r="BI135" s="3"/>
    </row>
    <row r="136" spans="51:61" x14ac:dyDescent="0.15">
      <c r="BD136" s="284"/>
      <c r="BE136" s="287">
        <v>65</v>
      </c>
      <c r="BF136" s="283">
        <v>37.199999999999982</v>
      </c>
      <c r="BG136" s="283"/>
      <c r="BH136" s="283">
        <v>13.3</v>
      </c>
      <c r="BI136" s="3"/>
    </row>
    <row r="137" spans="51:61" x14ac:dyDescent="0.15">
      <c r="BD137" s="284"/>
      <c r="BE137" s="287">
        <v>65.5</v>
      </c>
      <c r="BF137" s="283">
        <v>37.09999999999998</v>
      </c>
      <c r="BG137" s="283"/>
      <c r="BH137" s="283">
        <v>13.4</v>
      </c>
      <c r="BI137" s="3"/>
    </row>
    <row r="138" spans="51:61" x14ac:dyDescent="0.15">
      <c r="BD138" s="284"/>
      <c r="BE138" s="287">
        <v>66</v>
      </c>
      <c r="BF138" s="283">
        <v>36.999999999999979</v>
      </c>
      <c r="BG138" s="283"/>
      <c r="BH138" s="283">
        <v>13.5</v>
      </c>
      <c r="BI138" s="3"/>
    </row>
    <row r="139" spans="51:61" x14ac:dyDescent="0.15">
      <c r="BD139" s="284"/>
      <c r="BE139" s="287">
        <v>66.5</v>
      </c>
      <c r="BF139" s="283">
        <v>36.899999999999977</v>
      </c>
      <c r="BG139" s="283"/>
      <c r="BH139" s="283">
        <v>13.6</v>
      </c>
      <c r="BI139" s="3"/>
    </row>
    <row r="140" spans="51:61" x14ac:dyDescent="0.15">
      <c r="BD140" s="284"/>
      <c r="BE140" s="287">
        <v>67</v>
      </c>
      <c r="BF140" s="283">
        <v>36.799999999999976</v>
      </c>
      <c r="BG140" s="283"/>
      <c r="BH140" s="283">
        <v>13.7</v>
      </c>
      <c r="BI140" s="3"/>
    </row>
    <row r="141" spans="51:61" x14ac:dyDescent="0.15">
      <c r="BD141" s="284"/>
      <c r="BE141" s="287">
        <v>67.5</v>
      </c>
      <c r="BF141" s="283">
        <v>36.699999999999974</v>
      </c>
      <c r="BG141" s="283"/>
      <c r="BH141" s="283">
        <v>13.8</v>
      </c>
      <c r="BI141" s="3"/>
    </row>
    <row r="142" spans="51:61" x14ac:dyDescent="0.15">
      <c r="BD142" s="284"/>
      <c r="BE142" s="287">
        <v>68</v>
      </c>
      <c r="BF142" s="283">
        <v>36.599999999999973</v>
      </c>
      <c r="BG142" s="283"/>
      <c r="BH142" s="283">
        <v>13.9</v>
      </c>
      <c r="BI142" s="3"/>
    </row>
    <row r="143" spans="51:61" x14ac:dyDescent="0.15">
      <c r="BD143" s="284"/>
      <c r="BE143" s="287">
        <v>68.5</v>
      </c>
      <c r="BF143" s="283">
        <v>36.499999999999972</v>
      </c>
      <c r="BG143" s="283"/>
      <c r="BH143" s="283">
        <v>14</v>
      </c>
      <c r="BI143" s="3"/>
    </row>
    <row r="144" spans="51:61" x14ac:dyDescent="0.15">
      <c r="BD144" s="284"/>
      <c r="BE144" s="287">
        <v>69</v>
      </c>
      <c r="BF144" s="283">
        <v>36.39999999999997</v>
      </c>
      <c r="BG144" s="283"/>
      <c r="BH144" s="283">
        <v>14.1</v>
      </c>
      <c r="BI144" s="3"/>
    </row>
    <row r="145" spans="56:61" x14ac:dyDescent="0.15">
      <c r="BD145" s="284"/>
      <c r="BE145" s="287">
        <v>69.5</v>
      </c>
      <c r="BF145" s="283">
        <v>36.299999999999969</v>
      </c>
      <c r="BG145" s="283"/>
      <c r="BH145" s="283">
        <v>14.2</v>
      </c>
      <c r="BI145" s="3"/>
    </row>
    <row r="146" spans="56:61" x14ac:dyDescent="0.15">
      <c r="BD146" s="284"/>
      <c r="BE146" s="287">
        <v>70</v>
      </c>
      <c r="BF146" s="283">
        <v>36.199999999999967</v>
      </c>
      <c r="BG146" s="283"/>
      <c r="BH146" s="283">
        <v>14.3</v>
      </c>
      <c r="BI146" s="3"/>
    </row>
    <row r="147" spans="56:61" x14ac:dyDescent="0.15">
      <c r="BD147" s="284"/>
      <c r="BE147" s="287">
        <v>70.5</v>
      </c>
      <c r="BF147" s="283">
        <v>36.099999999999966</v>
      </c>
      <c r="BG147" s="283"/>
      <c r="BH147" s="283">
        <v>14.4</v>
      </c>
      <c r="BI147" s="3"/>
    </row>
    <row r="148" spans="56:61" x14ac:dyDescent="0.15">
      <c r="BD148" s="284"/>
      <c r="BE148" s="287">
        <v>71</v>
      </c>
      <c r="BF148" s="283">
        <v>35.999999999999964</v>
      </c>
      <c r="BG148" s="283"/>
      <c r="BH148" s="283">
        <v>14.5</v>
      </c>
      <c r="BI148" s="3"/>
    </row>
    <row r="149" spans="56:61" x14ac:dyDescent="0.15">
      <c r="BD149" s="284"/>
      <c r="BE149" s="287">
        <v>71.5</v>
      </c>
      <c r="BF149" s="283">
        <v>35.899999999999963</v>
      </c>
      <c r="BG149" s="283"/>
      <c r="BH149" s="283">
        <v>14.6</v>
      </c>
      <c r="BI149" s="3"/>
    </row>
    <row r="150" spans="56:61" x14ac:dyDescent="0.15">
      <c r="BD150" s="284"/>
      <c r="BE150" s="287">
        <v>72</v>
      </c>
      <c r="BF150" s="283">
        <v>35.799999999999962</v>
      </c>
      <c r="BG150" s="283"/>
      <c r="BH150" s="283">
        <v>14.7</v>
      </c>
      <c r="BI150" s="3"/>
    </row>
    <row r="151" spans="56:61" x14ac:dyDescent="0.15">
      <c r="BD151" s="284"/>
      <c r="BE151" s="287">
        <v>72.5</v>
      </c>
      <c r="BF151" s="283">
        <v>35.69999999999996</v>
      </c>
      <c r="BG151" s="283"/>
      <c r="BH151" s="283">
        <v>14.8</v>
      </c>
      <c r="BI151" s="3"/>
    </row>
    <row r="152" spans="56:61" x14ac:dyDescent="0.15">
      <c r="BD152" s="284"/>
      <c r="BE152" s="287">
        <v>73</v>
      </c>
      <c r="BF152" s="283">
        <v>35.599999999999959</v>
      </c>
      <c r="BG152" s="283"/>
      <c r="BH152" s="283">
        <v>14.9</v>
      </c>
      <c r="BI152" s="3"/>
    </row>
    <row r="153" spans="56:61" x14ac:dyDescent="0.15">
      <c r="BD153" s="284"/>
      <c r="BE153" s="287">
        <v>73.5</v>
      </c>
      <c r="BF153" s="283">
        <v>35.499999999999957</v>
      </c>
      <c r="BG153" s="283"/>
      <c r="BH153" s="283">
        <v>15</v>
      </c>
      <c r="BI153" s="3"/>
    </row>
    <row r="154" spans="56:61" x14ac:dyDescent="0.15">
      <c r="BD154" s="284"/>
      <c r="BE154" s="287">
        <v>74</v>
      </c>
      <c r="BF154" s="283">
        <v>35.399999999999956</v>
      </c>
      <c r="BG154" s="283"/>
      <c r="BH154" s="283">
        <v>15.1</v>
      </c>
      <c r="BI154" s="3"/>
    </row>
    <row r="155" spans="56:61" x14ac:dyDescent="0.15">
      <c r="BD155" s="284"/>
      <c r="BE155" s="287">
        <v>74.5</v>
      </c>
      <c r="BF155" s="283">
        <v>35.299999999999955</v>
      </c>
      <c r="BG155" s="283"/>
      <c r="BH155" s="283">
        <v>15.2</v>
      </c>
      <c r="BI155" s="3"/>
    </row>
    <row r="156" spans="56:61" x14ac:dyDescent="0.15">
      <c r="BD156" s="284"/>
      <c r="BE156" s="287">
        <v>75</v>
      </c>
      <c r="BF156" s="283">
        <v>35.199999999999953</v>
      </c>
      <c r="BG156" s="283"/>
      <c r="BH156" s="283">
        <v>15.3</v>
      </c>
      <c r="BI156" s="3"/>
    </row>
    <row r="157" spans="56:61" x14ac:dyDescent="0.15">
      <c r="BD157" s="284"/>
      <c r="BE157" s="287">
        <v>75.5</v>
      </c>
      <c r="BF157" s="283">
        <v>35.099999999999952</v>
      </c>
      <c r="BG157" s="283"/>
      <c r="BH157" s="283">
        <v>15.4</v>
      </c>
      <c r="BI157" s="3"/>
    </row>
    <row r="158" spans="56:61" x14ac:dyDescent="0.15">
      <c r="BD158" s="284"/>
      <c r="BE158" s="287">
        <v>76</v>
      </c>
      <c r="BF158" s="283">
        <v>34.99999999999995</v>
      </c>
      <c r="BG158" s="283"/>
      <c r="BH158" s="283">
        <v>15.5</v>
      </c>
      <c r="BI158" s="3"/>
    </row>
    <row r="159" spans="56:61" x14ac:dyDescent="0.15">
      <c r="BD159" s="284"/>
      <c r="BE159" s="287">
        <v>76.5</v>
      </c>
      <c r="BF159" s="283">
        <v>34.9</v>
      </c>
      <c r="BG159" s="283"/>
      <c r="BH159" s="283">
        <v>15.6</v>
      </c>
      <c r="BI159" s="3"/>
    </row>
    <row r="160" spans="56:61" x14ac:dyDescent="0.15">
      <c r="BD160" s="284"/>
      <c r="BE160" s="287">
        <v>77</v>
      </c>
      <c r="BF160" s="283">
        <v>34.799999999999997</v>
      </c>
      <c r="BG160" s="283"/>
      <c r="BH160" s="283">
        <v>15.7</v>
      </c>
      <c r="BI160" s="3"/>
    </row>
    <row r="161" spans="56:61" x14ac:dyDescent="0.15">
      <c r="BD161" s="284"/>
      <c r="BE161" s="287">
        <v>77.5</v>
      </c>
      <c r="BF161" s="283">
        <v>34.700000000000003</v>
      </c>
      <c r="BG161" s="283"/>
      <c r="BH161" s="283">
        <v>15.8</v>
      </c>
      <c r="BI161" s="3"/>
    </row>
    <row r="162" spans="56:61" x14ac:dyDescent="0.15">
      <c r="BD162" s="284"/>
      <c r="BE162" s="287">
        <v>78</v>
      </c>
      <c r="BF162" s="283">
        <v>34.6</v>
      </c>
      <c r="BG162" s="283"/>
      <c r="BH162" s="283">
        <v>15.9</v>
      </c>
      <c r="BI162" s="3"/>
    </row>
    <row r="163" spans="56:61" x14ac:dyDescent="0.15">
      <c r="BD163" s="284"/>
      <c r="BE163" s="287">
        <v>78.5</v>
      </c>
      <c r="BF163" s="283">
        <v>34.5</v>
      </c>
      <c r="BG163" s="283"/>
      <c r="BH163" s="283">
        <v>16</v>
      </c>
      <c r="BI163" s="3"/>
    </row>
    <row r="164" spans="56:61" x14ac:dyDescent="0.15">
      <c r="BD164" s="284"/>
      <c r="BE164" s="287">
        <v>79</v>
      </c>
      <c r="BF164" s="283">
        <v>34.4</v>
      </c>
      <c r="BG164" s="283"/>
      <c r="BH164" s="283">
        <v>16.100000000000001</v>
      </c>
      <c r="BI164" s="3"/>
    </row>
    <row r="165" spans="56:61" x14ac:dyDescent="0.15">
      <c r="BD165" s="284"/>
      <c r="BE165" s="287">
        <v>79.5</v>
      </c>
      <c r="BF165" s="283">
        <v>34.299999999999997</v>
      </c>
      <c r="BG165" s="283"/>
      <c r="BH165" s="283">
        <v>16.2</v>
      </c>
      <c r="BI165" s="3"/>
    </row>
    <row r="166" spans="56:61" x14ac:dyDescent="0.15">
      <c r="BD166" s="284"/>
      <c r="BE166" s="287">
        <v>80</v>
      </c>
      <c r="BF166" s="283">
        <v>34.200000000000003</v>
      </c>
      <c r="BG166" s="283"/>
      <c r="BH166" s="283">
        <v>16.3</v>
      </c>
      <c r="BI166" s="3"/>
    </row>
    <row r="167" spans="56:61" x14ac:dyDescent="0.15">
      <c r="BD167" s="284"/>
      <c r="BE167" s="287">
        <v>80.5</v>
      </c>
      <c r="BF167" s="283">
        <v>34.1</v>
      </c>
      <c r="BG167" s="283"/>
      <c r="BH167" s="283">
        <v>16.399999999999999</v>
      </c>
      <c r="BI167" s="3"/>
    </row>
    <row r="168" spans="56:61" x14ac:dyDescent="0.15">
      <c r="BD168" s="284"/>
      <c r="BE168" s="287">
        <v>81</v>
      </c>
      <c r="BF168" s="283">
        <v>34</v>
      </c>
      <c r="BG168" s="283"/>
      <c r="BH168" s="283">
        <v>16.5</v>
      </c>
      <c r="BI168" s="3"/>
    </row>
    <row r="169" spans="56:61" x14ac:dyDescent="0.15">
      <c r="BD169" s="284"/>
      <c r="BE169" s="287">
        <v>81.5</v>
      </c>
      <c r="BF169" s="283">
        <v>33.9</v>
      </c>
      <c r="BG169" s="283"/>
      <c r="BH169" s="283">
        <v>16.600000000000001</v>
      </c>
      <c r="BI169" s="3"/>
    </row>
    <row r="170" spans="56:61" x14ac:dyDescent="0.15">
      <c r="BD170" s="284"/>
      <c r="BE170" s="287">
        <v>82</v>
      </c>
      <c r="BF170" s="283">
        <v>33.799999999999997</v>
      </c>
      <c r="BG170" s="283"/>
      <c r="BH170" s="283">
        <v>16.7</v>
      </c>
      <c r="BI170" s="3"/>
    </row>
    <row r="171" spans="56:61" x14ac:dyDescent="0.15">
      <c r="BD171" s="284"/>
      <c r="BE171" s="287">
        <v>82.5</v>
      </c>
      <c r="BF171" s="283">
        <v>33.700000000000003</v>
      </c>
      <c r="BG171" s="283"/>
      <c r="BH171" s="283">
        <v>16.8</v>
      </c>
      <c r="BI171" s="3"/>
    </row>
    <row r="172" spans="56:61" x14ac:dyDescent="0.15">
      <c r="BD172" s="284"/>
      <c r="BE172" s="287">
        <v>83</v>
      </c>
      <c r="BF172" s="283">
        <v>33.6</v>
      </c>
      <c r="BG172" s="283"/>
      <c r="BH172" s="283">
        <v>16.899999999999999</v>
      </c>
      <c r="BI172" s="3"/>
    </row>
    <row r="173" spans="56:61" x14ac:dyDescent="0.15">
      <c r="BD173" s="284"/>
      <c r="BE173" s="287">
        <v>83.5</v>
      </c>
      <c r="BF173" s="283">
        <v>33.5</v>
      </c>
      <c r="BG173" s="283"/>
      <c r="BH173" s="283">
        <v>17</v>
      </c>
      <c r="BI173" s="3"/>
    </row>
    <row r="174" spans="56:61" x14ac:dyDescent="0.15">
      <c r="BD174" s="284"/>
      <c r="BE174" s="287">
        <v>84</v>
      </c>
      <c r="BF174" s="283">
        <v>33.4</v>
      </c>
      <c r="BG174" s="283"/>
      <c r="BH174" s="283">
        <v>17.100000000000001</v>
      </c>
      <c r="BI174" s="3"/>
    </row>
    <row r="175" spans="56:61" x14ac:dyDescent="0.15">
      <c r="BD175" s="284"/>
      <c r="BE175" s="287">
        <v>84.5</v>
      </c>
      <c r="BF175" s="283">
        <v>33.299999999999997</v>
      </c>
      <c r="BG175" s="283"/>
      <c r="BH175" s="283">
        <v>17.2</v>
      </c>
      <c r="BI175" s="3"/>
    </row>
    <row r="176" spans="56:61" x14ac:dyDescent="0.15">
      <c r="BD176" s="284"/>
      <c r="BE176" s="287">
        <v>85</v>
      </c>
      <c r="BF176" s="283">
        <v>33.200000000000003</v>
      </c>
      <c r="BG176" s="283"/>
      <c r="BH176" s="283">
        <v>17.3</v>
      </c>
      <c r="BI176" s="3"/>
    </row>
    <row r="177" spans="56:61" x14ac:dyDescent="0.15">
      <c r="BD177" s="284"/>
      <c r="BE177" s="287">
        <v>85.5</v>
      </c>
      <c r="BF177" s="283">
        <v>33.1</v>
      </c>
      <c r="BG177" s="283"/>
      <c r="BH177" s="283">
        <v>17.399999999999999</v>
      </c>
      <c r="BI177" s="3"/>
    </row>
    <row r="178" spans="56:61" x14ac:dyDescent="0.15">
      <c r="BD178" s="284"/>
      <c r="BE178" s="287">
        <v>86</v>
      </c>
      <c r="BF178" s="283">
        <v>33</v>
      </c>
      <c r="BG178" s="283"/>
      <c r="BH178" s="283">
        <v>17.5</v>
      </c>
      <c r="BI178" s="3"/>
    </row>
    <row r="179" spans="56:61" x14ac:dyDescent="0.15">
      <c r="BD179" s="284"/>
      <c r="BE179" s="287">
        <v>86.5</v>
      </c>
      <c r="BF179" s="283">
        <v>32.9</v>
      </c>
      <c r="BG179" s="283"/>
      <c r="BH179" s="283">
        <v>17.600000000000001</v>
      </c>
      <c r="BI179" s="3"/>
    </row>
    <row r="180" spans="56:61" x14ac:dyDescent="0.15">
      <c r="BD180" s="284"/>
      <c r="BE180" s="287">
        <v>87</v>
      </c>
      <c r="BF180" s="283">
        <v>32.799999999999997</v>
      </c>
      <c r="BG180" s="283"/>
      <c r="BH180" s="283">
        <v>17.7</v>
      </c>
      <c r="BI180" s="3"/>
    </row>
    <row r="181" spans="56:61" x14ac:dyDescent="0.15">
      <c r="BD181" s="284"/>
      <c r="BE181" s="287">
        <v>87.5</v>
      </c>
      <c r="BF181" s="283">
        <v>32.700000000000003</v>
      </c>
      <c r="BG181" s="283"/>
      <c r="BH181" s="283">
        <v>17.8</v>
      </c>
      <c r="BI181" s="3"/>
    </row>
    <row r="182" spans="56:61" x14ac:dyDescent="0.15">
      <c r="BD182" s="284"/>
      <c r="BE182" s="287">
        <v>88</v>
      </c>
      <c r="BF182" s="283">
        <v>32.6</v>
      </c>
      <c r="BG182" s="283"/>
      <c r="BH182" s="283">
        <v>17.899999999999999</v>
      </c>
      <c r="BI182" s="3"/>
    </row>
    <row r="183" spans="56:61" x14ac:dyDescent="0.15">
      <c r="BD183" s="284"/>
      <c r="BE183" s="287">
        <v>88.5</v>
      </c>
      <c r="BF183" s="283">
        <v>32.5</v>
      </c>
      <c r="BG183" s="283"/>
      <c r="BH183" s="283">
        <v>18</v>
      </c>
      <c r="BI183" s="3"/>
    </row>
    <row r="184" spans="56:61" x14ac:dyDescent="0.15">
      <c r="BD184" s="284"/>
      <c r="BE184" s="287">
        <v>89</v>
      </c>
      <c r="BF184" s="283">
        <v>32.4</v>
      </c>
      <c r="BG184" s="283"/>
      <c r="BH184" s="283">
        <v>18.100000000000001</v>
      </c>
      <c r="BI184" s="3"/>
    </row>
    <row r="185" spans="56:61" x14ac:dyDescent="0.15">
      <c r="BD185" s="284"/>
      <c r="BE185" s="287">
        <v>89.5</v>
      </c>
      <c r="BF185" s="283">
        <v>32.299999999999997</v>
      </c>
      <c r="BG185" s="283"/>
      <c r="BH185" s="283">
        <v>18.2</v>
      </c>
      <c r="BI185" s="3"/>
    </row>
    <row r="186" spans="56:61" x14ac:dyDescent="0.15">
      <c r="BD186" s="284"/>
      <c r="BE186" s="287">
        <v>90</v>
      </c>
      <c r="BF186" s="283">
        <v>32.200000000000003</v>
      </c>
      <c r="BG186" s="283"/>
      <c r="BH186" s="283">
        <v>18.3</v>
      </c>
      <c r="BI186" s="3"/>
    </row>
    <row r="187" spans="56:61" x14ac:dyDescent="0.15">
      <c r="BD187" s="284"/>
      <c r="BE187" s="287">
        <v>90.5</v>
      </c>
      <c r="BF187" s="283">
        <v>32.1</v>
      </c>
      <c r="BG187" s="283"/>
      <c r="BH187" s="283">
        <v>18.399999999999999</v>
      </c>
      <c r="BI187" s="3"/>
    </row>
    <row r="188" spans="56:61" x14ac:dyDescent="0.15">
      <c r="BD188" s="284"/>
      <c r="BE188" s="287">
        <v>91</v>
      </c>
      <c r="BF188" s="283">
        <v>32</v>
      </c>
      <c r="BG188" s="283"/>
      <c r="BH188" s="283">
        <v>18.5</v>
      </c>
      <c r="BI188" s="3"/>
    </row>
    <row r="189" spans="56:61" x14ac:dyDescent="0.15">
      <c r="BD189" s="284"/>
      <c r="BE189" s="287">
        <v>91.5</v>
      </c>
      <c r="BF189" s="283">
        <v>31.9</v>
      </c>
      <c r="BG189" s="283"/>
      <c r="BH189" s="283">
        <v>18.600000000000001</v>
      </c>
      <c r="BI189" s="3"/>
    </row>
    <row r="190" spans="56:61" x14ac:dyDescent="0.15">
      <c r="BD190" s="284"/>
      <c r="BE190" s="287">
        <v>92</v>
      </c>
      <c r="BF190" s="283">
        <v>31.8</v>
      </c>
      <c r="BG190" s="283"/>
      <c r="BH190" s="283">
        <v>18.7</v>
      </c>
      <c r="BI190" s="3"/>
    </row>
    <row r="191" spans="56:61" x14ac:dyDescent="0.15">
      <c r="BD191" s="284"/>
      <c r="BE191" s="287">
        <v>92.5</v>
      </c>
      <c r="BF191" s="283">
        <v>31.7</v>
      </c>
      <c r="BG191" s="283"/>
      <c r="BH191" s="283">
        <v>18.8</v>
      </c>
      <c r="BI191" s="3"/>
    </row>
    <row r="192" spans="56:61" x14ac:dyDescent="0.15">
      <c r="BD192" s="284"/>
      <c r="BE192" s="287">
        <v>93</v>
      </c>
      <c r="BF192" s="283">
        <v>31.6</v>
      </c>
      <c r="BG192" s="283"/>
      <c r="BH192" s="283">
        <v>18.899999999999999</v>
      </c>
      <c r="BI192" s="3"/>
    </row>
    <row r="193" spans="56:61" x14ac:dyDescent="0.15">
      <c r="BD193" s="284"/>
      <c r="BE193" s="287">
        <v>93.5</v>
      </c>
      <c r="BF193" s="283">
        <v>31.5</v>
      </c>
      <c r="BG193" s="283"/>
      <c r="BH193" s="283">
        <v>19</v>
      </c>
      <c r="BI193" s="3"/>
    </row>
    <row r="194" spans="56:61" x14ac:dyDescent="0.15">
      <c r="BD194" s="284"/>
      <c r="BE194" s="287">
        <v>94</v>
      </c>
      <c r="BF194" s="283">
        <v>31.4</v>
      </c>
      <c r="BG194" s="283"/>
      <c r="BH194" s="283">
        <v>19.100000000000001</v>
      </c>
      <c r="BI194" s="3"/>
    </row>
    <row r="195" spans="56:61" x14ac:dyDescent="0.15">
      <c r="BD195" s="284"/>
      <c r="BE195" s="287">
        <v>94.5</v>
      </c>
      <c r="BF195" s="283">
        <v>31.3</v>
      </c>
      <c r="BG195" s="283"/>
      <c r="BH195" s="283">
        <v>19.2</v>
      </c>
      <c r="BI195" s="3"/>
    </row>
    <row r="196" spans="56:61" x14ac:dyDescent="0.15">
      <c r="BD196" s="284"/>
      <c r="BE196" s="287">
        <v>95</v>
      </c>
      <c r="BF196" s="283">
        <v>31.2</v>
      </c>
      <c r="BG196" s="283"/>
      <c r="BH196" s="283">
        <v>19.3</v>
      </c>
      <c r="BI196" s="3"/>
    </row>
    <row r="197" spans="56:61" x14ac:dyDescent="0.15">
      <c r="BD197" s="284"/>
      <c r="BE197" s="287">
        <v>95.5</v>
      </c>
      <c r="BF197" s="283">
        <v>31.1</v>
      </c>
      <c r="BG197" s="283"/>
      <c r="BH197" s="283">
        <v>19.399999999999999</v>
      </c>
      <c r="BI197" s="3"/>
    </row>
    <row r="198" spans="56:61" x14ac:dyDescent="0.15">
      <c r="BD198" s="284"/>
      <c r="BE198" s="287">
        <v>96</v>
      </c>
      <c r="BF198" s="283">
        <v>31</v>
      </c>
      <c r="BG198" s="283"/>
      <c r="BH198" s="283">
        <v>19.5</v>
      </c>
      <c r="BI198" s="3"/>
    </row>
    <row r="199" spans="56:61" x14ac:dyDescent="0.15">
      <c r="BD199" s="284"/>
      <c r="BE199" s="287">
        <v>96.5</v>
      </c>
      <c r="BF199" s="283">
        <v>30.9</v>
      </c>
      <c r="BG199" s="283"/>
      <c r="BH199" s="283">
        <v>19.600000000000001</v>
      </c>
      <c r="BI199" s="3"/>
    </row>
    <row r="200" spans="56:61" x14ac:dyDescent="0.15">
      <c r="BD200" s="284"/>
      <c r="BE200" s="287">
        <v>97</v>
      </c>
      <c r="BF200" s="283">
        <v>30.8</v>
      </c>
      <c r="BG200" s="283"/>
      <c r="BH200" s="283">
        <v>19.7</v>
      </c>
      <c r="BI200" s="3"/>
    </row>
    <row r="201" spans="56:61" x14ac:dyDescent="0.15">
      <c r="BD201" s="284"/>
      <c r="BE201" s="287">
        <v>97.5</v>
      </c>
      <c r="BF201" s="283">
        <v>30.7</v>
      </c>
      <c r="BG201" s="283"/>
      <c r="BH201" s="283">
        <v>19.8</v>
      </c>
      <c r="BI201" s="3"/>
    </row>
    <row r="202" spans="56:61" x14ac:dyDescent="0.15">
      <c r="BD202" s="284"/>
      <c r="BE202" s="287">
        <v>98</v>
      </c>
      <c r="BF202" s="283">
        <v>30.6</v>
      </c>
      <c r="BG202" s="283"/>
      <c r="BH202" s="283">
        <v>19.899999999999999</v>
      </c>
      <c r="BI202" s="3"/>
    </row>
    <row r="203" spans="56:61" x14ac:dyDescent="0.15">
      <c r="BD203" s="284"/>
      <c r="BE203" s="287">
        <v>98.5</v>
      </c>
      <c r="BF203" s="283">
        <v>30.5</v>
      </c>
      <c r="BG203" s="283"/>
      <c r="BH203" s="283">
        <v>20</v>
      </c>
      <c r="BI203" s="3"/>
    </row>
    <row r="204" spans="56:61" x14ac:dyDescent="0.15">
      <c r="BD204" s="284"/>
      <c r="BE204" s="287">
        <v>99</v>
      </c>
      <c r="BF204" s="283">
        <v>30.4</v>
      </c>
      <c r="BG204" s="283"/>
      <c r="BH204" s="283"/>
      <c r="BI204" s="3"/>
    </row>
    <row r="205" spans="56:61" x14ac:dyDescent="0.15">
      <c r="BD205" s="284"/>
      <c r="BE205" s="287">
        <v>99.5</v>
      </c>
      <c r="BF205" s="283">
        <v>30.3</v>
      </c>
      <c r="BG205" s="283"/>
      <c r="BH205" s="283"/>
      <c r="BI205" s="3"/>
    </row>
    <row r="206" spans="56:61" x14ac:dyDescent="0.15">
      <c r="BD206" s="284"/>
      <c r="BE206" s="283">
        <v>100</v>
      </c>
      <c r="BF206" s="283">
        <v>30.2</v>
      </c>
      <c r="BG206" s="283"/>
      <c r="BH206" s="283"/>
      <c r="BI206" s="3"/>
    </row>
    <row r="207" spans="56:61" x14ac:dyDescent="0.15">
      <c r="BD207" s="284"/>
      <c r="BE207" s="283">
        <v>105</v>
      </c>
      <c r="BF207" s="283">
        <v>30.1</v>
      </c>
      <c r="BG207" s="283"/>
      <c r="BH207" s="283"/>
      <c r="BI207" s="3"/>
    </row>
    <row r="208" spans="56:61" x14ac:dyDescent="0.15">
      <c r="BD208" s="284"/>
      <c r="BE208" s="283">
        <v>110</v>
      </c>
      <c r="BF208" s="283">
        <v>30</v>
      </c>
      <c r="BG208" s="283"/>
      <c r="BH208" s="283"/>
      <c r="BI208" s="3"/>
    </row>
    <row r="209" spans="56:61" x14ac:dyDescent="0.15">
      <c r="BD209" s="284"/>
      <c r="BE209" s="283">
        <v>115</v>
      </c>
      <c r="BF209" s="283">
        <v>29.9</v>
      </c>
      <c r="BG209" s="283"/>
      <c r="BH209" s="283"/>
      <c r="BI209" s="3"/>
    </row>
    <row r="210" spans="56:61" x14ac:dyDescent="0.15">
      <c r="BD210" s="284"/>
      <c r="BE210" s="283">
        <v>120</v>
      </c>
      <c r="BF210" s="283">
        <v>29.8</v>
      </c>
      <c r="BG210" s="283"/>
      <c r="BH210" s="283"/>
      <c r="BI210" s="3"/>
    </row>
    <row r="211" spans="56:61" x14ac:dyDescent="0.15">
      <c r="BD211" s="284"/>
      <c r="BE211" s="283">
        <v>125</v>
      </c>
      <c r="BF211" s="283">
        <v>29.7</v>
      </c>
      <c r="BG211" s="283"/>
      <c r="BH211" s="283"/>
      <c r="BI211" s="3"/>
    </row>
    <row r="212" spans="56:61" x14ac:dyDescent="0.15">
      <c r="BD212" s="284"/>
      <c r="BE212" s="283">
        <v>130</v>
      </c>
      <c r="BF212" s="283">
        <v>29.6</v>
      </c>
      <c r="BG212" s="283"/>
      <c r="BH212" s="283"/>
      <c r="BI212" s="3"/>
    </row>
    <row r="213" spans="56:61" x14ac:dyDescent="0.15">
      <c r="BD213" s="284"/>
      <c r="BE213" s="283">
        <v>135</v>
      </c>
      <c r="BF213" s="283">
        <v>29.5</v>
      </c>
      <c r="BG213" s="283"/>
      <c r="BH213" s="283"/>
      <c r="BI213" s="3"/>
    </row>
    <row r="214" spans="56:61" x14ac:dyDescent="0.15">
      <c r="BD214" s="284"/>
      <c r="BE214" s="283">
        <v>140</v>
      </c>
      <c r="BF214" s="283">
        <v>29.4</v>
      </c>
      <c r="BG214" s="283"/>
      <c r="BH214" s="283"/>
      <c r="BI214" s="3"/>
    </row>
    <row r="215" spans="56:61" x14ac:dyDescent="0.15">
      <c r="BD215" s="284"/>
      <c r="BE215" s="283">
        <v>145</v>
      </c>
      <c r="BF215" s="283">
        <v>29.3</v>
      </c>
      <c r="BG215" s="283"/>
      <c r="BH215" s="283"/>
      <c r="BI215" s="3"/>
    </row>
    <row r="216" spans="56:61" x14ac:dyDescent="0.15">
      <c r="BD216" s="284"/>
      <c r="BE216" s="283">
        <v>150</v>
      </c>
      <c r="BF216" s="283">
        <v>29.2</v>
      </c>
      <c r="BG216" s="283"/>
      <c r="BH216" s="283"/>
      <c r="BI216" s="3"/>
    </row>
    <row r="217" spans="56:61" x14ac:dyDescent="0.15">
      <c r="BD217" s="284"/>
      <c r="BE217" s="283">
        <v>155</v>
      </c>
      <c r="BF217" s="283">
        <v>29.1</v>
      </c>
      <c r="BG217" s="283"/>
      <c r="BH217" s="283"/>
      <c r="BI217" s="3"/>
    </row>
    <row r="218" spans="56:61" x14ac:dyDescent="0.15">
      <c r="BD218" s="284"/>
      <c r="BE218" s="283">
        <v>160</v>
      </c>
      <c r="BF218" s="283">
        <v>29</v>
      </c>
      <c r="BG218" s="283"/>
      <c r="BH218" s="283"/>
      <c r="BI218" s="3"/>
    </row>
    <row r="219" spans="56:61" x14ac:dyDescent="0.15">
      <c r="BD219" s="284"/>
      <c r="BE219" s="283">
        <v>165</v>
      </c>
      <c r="BF219" s="283">
        <v>28.9</v>
      </c>
      <c r="BG219" s="283"/>
      <c r="BH219" s="283"/>
      <c r="BI219" s="3"/>
    </row>
    <row r="220" spans="56:61" x14ac:dyDescent="0.15">
      <c r="BD220" s="284"/>
      <c r="BE220" s="283">
        <v>170</v>
      </c>
      <c r="BF220" s="283">
        <v>28.8</v>
      </c>
      <c r="BG220" s="283"/>
      <c r="BH220" s="283"/>
      <c r="BI220" s="3"/>
    </row>
    <row r="221" spans="56:61" x14ac:dyDescent="0.15">
      <c r="BD221" s="284"/>
      <c r="BE221" s="283">
        <v>175</v>
      </c>
      <c r="BF221" s="283">
        <v>28.7</v>
      </c>
      <c r="BG221" s="283"/>
      <c r="BH221" s="283"/>
      <c r="BI221" s="3"/>
    </row>
    <row r="222" spans="56:61" x14ac:dyDescent="0.15">
      <c r="BD222" s="284"/>
      <c r="BE222" s="283">
        <v>180</v>
      </c>
      <c r="BF222" s="283">
        <v>28.6</v>
      </c>
      <c r="BG222" s="283"/>
      <c r="BH222" s="283"/>
      <c r="BI222" s="3"/>
    </row>
    <row r="223" spans="56:61" x14ac:dyDescent="0.15">
      <c r="BD223" s="284"/>
      <c r="BE223" s="283">
        <v>185</v>
      </c>
      <c r="BF223" s="283">
        <v>28.5</v>
      </c>
      <c r="BG223" s="283"/>
      <c r="BH223" s="283"/>
      <c r="BI223" s="3"/>
    </row>
    <row r="224" spans="56:61" x14ac:dyDescent="0.15">
      <c r="BD224" s="284"/>
      <c r="BE224" s="283">
        <v>190</v>
      </c>
      <c r="BF224" s="283">
        <v>28.4</v>
      </c>
      <c r="BG224" s="283"/>
      <c r="BH224" s="283"/>
      <c r="BI224" s="3"/>
    </row>
    <row r="225" spans="56:61" x14ac:dyDescent="0.15">
      <c r="BD225" s="284"/>
      <c r="BE225" s="283">
        <v>195</v>
      </c>
      <c r="BF225" s="283">
        <v>28.3</v>
      </c>
      <c r="BG225" s="283"/>
      <c r="BH225" s="283"/>
      <c r="BI225" s="3"/>
    </row>
    <row r="226" spans="56:61" x14ac:dyDescent="0.15">
      <c r="BD226" s="284"/>
      <c r="BE226" s="283">
        <v>200</v>
      </c>
      <c r="BF226" s="283">
        <v>28.2</v>
      </c>
      <c r="BG226" s="283"/>
      <c r="BH226" s="283"/>
      <c r="BI226" s="3"/>
    </row>
    <row r="227" spans="56:61" x14ac:dyDescent="0.15">
      <c r="BD227" s="284"/>
      <c r="BE227" s="283">
        <v>205</v>
      </c>
      <c r="BF227" s="283">
        <v>28.1</v>
      </c>
      <c r="BG227" s="283"/>
      <c r="BH227" s="283"/>
      <c r="BI227" s="3"/>
    </row>
    <row r="228" spans="56:61" x14ac:dyDescent="0.15">
      <c r="BD228" s="284"/>
      <c r="BE228" s="283">
        <v>210</v>
      </c>
      <c r="BF228" s="283">
        <v>28</v>
      </c>
      <c r="BG228" s="283"/>
      <c r="BH228" s="283"/>
      <c r="BI228" s="3"/>
    </row>
    <row r="229" spans="56:61" x14ac:dyDescent="0.15">
      <c r="BD229" s="284"/>
      <c r="BE229" s="283">
        <v>215</v>
      </c>
      <c r="BF229" s="283">
        <v>27.9</v>
      </c>
      <c r="BG229" s="283"/>
      <c r="BH229" s="283"/>
      <c r="BI229" s="3"/>
    </row>
    <row r="230" spans="56:61" x14ac:dyDescent="0.15">
      <c r="BD230" s="284"/>
      <c r="BE230" s="283">
        <v>220</v>
      </c>
      <c r="BF230" s="283">
        <v>27.8</v>
      </c>
      <c r="BG230" s="283"/>
      <c r="BH230" s="283"/>
      <c r="BI230" s="3"/>
    </row>
    <row r="231" spans="56:61" x14ac:dyDescent="0.15">
      <c r="BD231" s="284"/>
      <c r="BE231" s="283">
        <v>225</v>
      </c>
      <c r="BF231" s="283">
        <v>27.7</v>
      </c>
      <c r="BG231" s="283"/>
      <c r="BH231" s="283"/>
      <c r="BI231" s="3"/>
    </row>
    <row r="232" spans="56:61" x14ac:dyDescent="0.15">
      <c r="BD232" s="284"/>
      <c r="BE232" s="283">
        <v>230</v>
      </c>
      <c r="BF232" s="283">
        <v>27.6</v>
      </c>
      <c r="BG232" s="283"/>
      <c r="BH232" s="283"/>
      <c r="BI232" s="3"/>
    </row>
    <row r="233" spans="56:61" x14ac:dyDescent="0.15">
      <c r="BD233" s="284"/>
      <c r="BE233" s="283">
        <v>235</v>
      </c>
      <c r="BF233" s="283">
        <v>27.5</v>
      </c>
      <c r="BG233" s="283"/>
      <c r="BH233" s="283"/>
      <c r="BI233" s="3"/>
    </row>
    <row r="234" spans="56:61" x14ac:dyDescent="0.15">
      <c r="BD234" s="284"/>
      <c r="BE234" s="283">
        <v>240</v>
      </c>
      <c r="BF234" s="283">
        <v>27.4</v>
      </c>
      <c r="BG234" s="283"/>
      <c r="BH234" s="283"/>
      <c r="BI234" s="3"/>
    </row>
    <row r="235" spans="56:61" x14ac:dyDescent="0.15">
      <c r="BD235" s="284"/>
      <c r="BE235" s="283">
        <v>245</v>
      </c>
      <c r="BF235" s="283">
        <v>27.3</v>
      </c>
      <c r="BG235" s="283"/>
      <c r="BH235" s="283"/>
      <c r="BI235" s="3"/>
    </row>
    <row r="236" spans="56:61" x14ac:dyDescent="0.15">
      <c r="BD236" s="284"/>
      <c r="BE236" s="283">
        <v>250</v>
      </c>
      <c r="BF236" s="283">
        <v>27.2</v>
      </c>
      <c r="BG236" s="283"/>
      <c r="BH236" s="283"/>
      <c r="BI236" s="3"/>
    </row>
    <row r="237" spans="56:61" x14ac:dyDescent="0.15">
      <c r="BD237" s="284"/>
      <c r="BE237" s="287">
        <v>260</v>
      </c>
      <c r="BF237" s="283">
        <v>27.1</v>
      </c>
      <c r="BG237" s="283"/>
      <c r="BH237" s="283"/>
      <c r="BI237" s="3"/>
    </row>
    <row r="238" spans="56:61" x14ac:dyDescent="0.15">
      <c r="BD238" s="284"/>
      <c r="BE238" s="287">
        <v>270</v>
      </c>
      <c r="BF238" s="283">
        <v>27</v>
      </c>
      <c r="BG238" s="283"/>
      <c r="BH238" s="283"/>
      <c r="BI238" s="3"/>
    </row>
    <row r="239" spans="56:61" x14ac:dyDescent="0.15">
      <c r="BD239" s="284"/>
      <c r="BE239" s="287">
        <v>280</v>
      </c>
      <c r="BF239" s="283">
        <v>26.9</v>
      </c>
      <c r="BG239" s="283"/>
      <c r="BH239" s="283"/>
      <c r="BI239" s="3"/>
    </row>
    <row r="240" spans="56:61" x14ac:dyDescent="0.15">
      <c r="BD240" s="284"/>
      <c r="BE240" s="287">
        <v>290</v>
      </c>
      <c r="BF240" s="283">
        <v>26.8</v>
      </c>
      <c r="BG240" s="283"/>
      <c r="BH240" s="283"/>
      <c r="BI240" s="3"/>
    </row>
    <row r="241" spans="56:61" x14ac:dyDescent="0.15">
      <c r="BD241" s="284"/>
      <c r="BE241" s="287">
        <v>300</v>
      </c>
      <c r="BF241" s="283">
        <v>26.7</v>
      </c>
      <c r="BG241" s="283"/>
      <c r="BH241" s="283"/>
      <c r="BI241" s="3"/>
    </row>
    <row r="242" spans="56:61" x14ac:dyDescent="0.15">
      <c r="BD242" s="284"/>
      <c r="BE242" s="287">
        <v>350</v>
      </c>
      <c r="BF242" s="283">
        <v>26.6</v>
      </c>
      <c r="BG242" s="283"/>
      <c r="BH242" s="283"/>
      <c r="BI242" s="3"/>
    </row>
    <row r="243" spans="56:61" x14ac:dyDescent="0.15">
      <c r="BD243" s="284"/>
      <c r="BE243" s="287">
        <v>400</v>
      </c>
      <c r="BF243" s="283">
        <v>26.5</v>
      </c>
      <c r="BG243" s="283"/>
      <c r="BH243" s="283"/>
      <c r="BI243" s="3"/>
    </row>
    <row r="244" spans="56:61" x14ac:dyDescent="0.15">
      <c r="BD244" s="284"/>
      <c r="BE244" s="287">
        <v>450</v>
      </c>
      <c r="BF244" s="283">
        <v>26.4</v>
      </c>
      <c r="BG244" s="283"/>
      <c r="BH244" s="283"/>
      <c r="BI244" s="3"/>
    </row>
    <row r="245" spans="56:61" x14ac:dyDescent="0.15">
      <c r="BD245" s="284"/>
      <c r="BE245" s="287">
        <v>500</v>
      </c>
      <c r="BF245" s="283">
        <v>26.3</v>
      </c>
      <c r="BG245" s="283"/>
      <c r="BH245" s="283"/>
      <c r="BI245" s="3"/>
    </row>
    <row r="246" spans="56:61" x14ac:dyDescent="0.15">
      <c r="BD246" s="284"/>
      <c r="BE246" s="287">
        <v>600</v>
      </c>
      <c r="BF246" s="283">
        <v>26.2</v>
      </c>
      <c r="BG246" s="283"/>
      <c r="BH246" s="283"/>
      <c r="BI246" s="3"/>
    </row>
    <row r="247" spans="56:61" x14ac:dyDescent="0.15">
      <c r="BD247" s="284"/>
      <c r="BE247" s="287">
        <v>700</v>
      </c>
      <c r="BF247" s="283">
        <v>26.1</v>
      </c>
      <c r="BG247" s="283"/>
      <c r="BH247" s="283"/>
      <c r="BI247" s="3"/>
    </row>
    <row r="248" spans="56:61" x14ac:dyDescent="0.15">
      <c r="BD248" s="284"/>
      <c r="BE248" s="287">
        <v>800</v>
      </c>
      <c r="BF248" s="283">
        <v>26</v>
      </c>
      <c r="BG248" s="283"/>
      <c r="BH248" s="283"/>
      <c r="BI248" s="3"/>
    </row>
    <row r="249" spans="56:61" x14ac:dyDescent="0.15">
      <c r="BD249" s="284"/>
      <c r="BE249" s="287">
        <v>900</v>
      </c>
      <c r="BF249" s="283">
        <v>25.9</v>
      </c>
      <c r="BG249" s="283"/>
      <c r="BH249" s="283"/>
      <c r="BI249" s="3"/>
    </row>
    <row r="250" spans="56:61" x14ac:dyDescent="0.15">
      <c r="BD250" s="284"/>
      <c r="BE250" s="287">
        <v>1000</v>
      </c>
      <c r="BF250" s="283">
        <v>25.8</v>
      </c>
      <c r="BG250" s="283"/>
      <c r="BH250" s="283"/>
      <c r="BI250" s="3"/>
    </row>
    <row r="251" spans="56:61" x14ac:dyDescent="0.15">
      <c r="BD251" s="284"/>
      <c r="BE251" s="284"/>
      <c r="BF251" s="283">
        <v>25.7</v>
      </c>
      <c r="BG251" s="283"/>
      <c r="BH251" s="283"/>
      <c r="BI251" s="3"/>
    </row>
    <row r="252" spans="56:61" x14ac:dyDescent="0.15">
      <c r="BD252" s="284"/>
      <c r="BE252" s="284"/>
      <c r="BF252" s="283">
        <v>25.6</v>
      </c>
      <c r="BG252" s="283"/>
      <c r="BH252" s="283"/>
      <c r="BI252" s="3"/>
    </row>
    <row r="253" spans="56:61" x14ac:dyDescent="0.15">
      <c r="BD253" s="284"/>
      <c r="BE253" s="284"/>
      <c r="BF253" s="283">
        <v>25.5</v>
      </c>
      <c r="BG253" s="283"/>
      <c r="BH253" s="283"/>
      <c r="BI253" s="3"/>
    </row>
    <row r="254" spans="56:61" x14ac:dyDescent="0.15">
      <c r="BD254" s="284"/>
      <c r="BE254" s="284"/>
      <c r="BF254" s="283">
        <v>25.4</v>
      </c>
      <c r="BG254" s="283"/>
      <c r="BH254" s="283"/>
      <c r="BI254" s="3"/>
    </row>
    <row r="255" spans="56:61" x14ac:dyDescent="0.15">
      <c r="BD255" s="284"/>
      <c r="BE255" s="284"/>
      <c r="BF255" s="283">
        <v>25.3</v>
      </c>
      <c r="BG255" s="283"/>
      <c r="BH255" s="283"/>
      <c r="BI255" s="3"/>
    </row>
    <row r="256" spans="56:61" x14ac:dyDescent="0.15">
      <c r="BD256" s="284"/>
      <c r="BE256" s="284"/>
      <c r="BF256" s="283">
        <v>25.2</v>
      </c>
      <c r="BG256" s="283"/>
      <c r="BH256" s="283"/>
      <c r="BI256" s="3"/>
    </row>
    <row r="257" spans="56:61" x14ac:dyDescent="0.15">
      <c r="BD257" s="284"/>
      <c r="BE257" s="284"/>
      <c r="BF257" s="283">
        <v>25.1</v>
      </c>
      <c r="BG257" s="283"/>
      <c r="BH257" s="283"/>
      <c r="BI257" s="3"/>
    </row>
    <row r="258" spans="56:61" x14ac:dyDescent="0.15">
      <c r="BD258" s="284"/>
      <c r="BE258" s="284"/>
      <c r="BF258" s="283">
        <v>25</v>
      </c>
      <c r="BG258" s="283"/>
      <c r="BH258" s="283"/>
      <c r="BI258" s="3"/>
    </row>
    <row r="259" spans="56:61" x14ac:dyDescent="0.15">
      <c r="BD259" s="284"/>
      <c r="BE259" s="284"/>
      <c r="BF259" s="283">
        <v>24.9</v>
      </c>
      <c r="BG259" s="283"/>
      <c r="BH259" s="283"/>
      <c r="BI259" s="3"/>
    </row>
    <row r="260" spans="56:61" x14ac:dyDescent="0.15">
      <c r="BD260" s="284"/>
      <c r="BE260" s="284"/>
      <c r="BF260" s="283">
        <v>24.8</v>
      </c>
      <c r="BG260" s="283"/>
      <c r="BH260" s="283"/>
      <c r="BI260" s="3"/>
    </row>
    <row r="261" spans="56:61" x14ac:dyDescent="0.15">
      <c r="BD261" s="284"/>
      <c r="BE261" s="284"/>
      <c r="BF261" s="283">
        <v>24.7</v>
      </c>
      <c r="BG261" s="283"/>
      <c r="BH261" s="283"/>
      <c r="BI261" s="3"/>
    </row>
    <row r="262" spans="56:61" x14ac:dyDescent="0.15">
      <c r="BD262" s="284"/>
      <c r="BE262" s="284"/>
      <c r="BF262" s="283">
        <v>24.6</v>
      </c>
      <c r="BG262" s="283"/>
      <c r="BH262" s="283"/>
      <c r="BI262" s="3"/>
    </row>
    <row r="263" spans="56:61" x14ac:dyDescent="0.15">
      <c r="BD263" s="284"/>
      <c r="BE263" s="284"/>
      <c r="BF263" s="283">
        <v>24.5</v>
      </c>
      <c r="BG263" s="283"/>
      <c r="BH263" s="283"/>
      <c r="BI263" s="3"/>
    </row>
    <row r="264" spans="56:61" x14ac:dyDescent="0.15">
      <c r="BD264" s="284"/>
      <c r="BE264" s="284"/>
      <c r="BF264" s="283">
        <v>24.4</v>
      </c>
      <c r="BG264" s="283"/>
      <c r="BH264" s="283"/>
      <c r="BI264" s="3"/>
    </row>
    <row r="265" spans="56:61" x14ac:dyDescent="0.15">
      <c r="BD265" s="284"/>
      <c r="BE265" s="284"/>
      <c r="BF265" s="283">
        <v>24.3</v>
      </c>
      <c r="BG265" s="283"/>
      <c r="BH265" s="283"/>
      <c r="BI265" s="3"/>
    </row>
    <row r="266" spans="56:61" x14ac:dyDescent="0.15">
      <c r="BD266" s="284"/>
      <c r="BE266" s="284"/>
      <c r="BF266" s="283">
        <v>24.2</v>
      </c>
      <c r="BG266" s="283"/>
      <c r="BH266" s="283"/>
      <c r="BI266" s="3"/>
    </row>
    <row r="267" spans="56:61" x14ac:dyDescent="0.15">
      <c r="BD267" s="284"/>
      <c r="BE267" s="284"/>
      <c r="BF267" s="283">
        <v>24.1</v>
      </c>
      <c r="BG267" s="283"/>
      <c r="BH267" s="283"/>
      <c r="BI267" s="3"/>
    </row>
    <row r="268" spans="56:61" x14ac:dyDescent="0.15">
      <c r="BD268" s="284"/>
      <c r="BE268" s="284"/>
      <c r="BF268" s="283">
        <v>24</v>
      </c>
      <c r="BG268" s="283"/>
      <c r="BH268" s="283"/>
      <c r="BI268" s="3"/>
    </row>
    <row r="269" spans="56:61" x14ac:dyDescent="0.15">
      <c r="BD269" s="284"/>
      <c r="BE269" s="284"/>
      <c r="BF269" s="283">
        <v>23.9</v>
      </c>
      <c r="BG269" s="283"/>
      <c r="BH269" s="283"/>
      <c r="BI269" s="3"/>
    </row>
    <row r="270" spans="56:61" x14ac:dyDescent="0.15">
      <c r="BD270" s="284"/>
      <c r="BE270" s="284"/>
      <c r="BF270" s="283">
        <v>23.8</v>
      </c>
      <c r="BG270" s="283"/>
      <c r="BH270" s="283"/>
      <c r="BI270" s="3"/>
    </row>
    <row r="271" spans="56:61" x14ac:dyDescent="0.15">
      <c r="BD271" s="284"/>
      <c r="BE271" s="284"/>
      <c r="BF271" s="283">
        <v>23.7</v>
      </c>
      <c r="BG271" s="283"/>
      <c r="BH271" s="283"/>
      <c r="BI271" s="3"/>
    </row>
    <row r="272" spans="56:61" x14ac:dyDescent="0.15">
      <c r="BD272" s="284"/>
      <c r="BE272" s="284"/>
      <c r="BF272" s="283">
        <v>23.6</v>
      </c>
      <c r="BG272" s="283"/>
      <c r="BH272" s="283"/>
      <c r="BI272" s="3"/>
    </row>
    <row r="273" spans="56:61" x14ac:dyDescent="0.15">
      <c r="BD273" s="284"/>
      <c r="BE273" s="284"/>
      <c r="BF273" s="283">
        <v>23.5</v>
      </c>
      <c r="BG273" s="283"/>
      <c r="BH273" s="283"/>
      <c r="BI273" s="3"/>
    </row>
    <row r="274" spans="56:61" x14ac:dyDescent="0.15">
      <c r="BD274" s="284"/>
      <c r="BE274" s="284"/>
      <c r="BF274" s="283">
        <v>23.4</v>
      </c>
      <c r="BG274" s="283"/>
      <c r="BH274" s="283"/>
      <c r="BI274" s="3"/>
    </row>
    <row r="275" spans="56:61" x14ac:dyDescent="0.15">
      <c r="BD275" s="284"/>
      <c r="BE275" s="284"/>
      <c r="BF275" s="283">
        <v>23.3</v>
      </c>
      <c r="BG275" s="283"/>
      <c r="BH275" s="283"/>
      <c r="BI275" s="3"/>
    </row>
    <row r="276" spans="56:61" x14ac:dyDescent="0.15">
      <c r="BD276" s="284"/>
      <c r="BE276" s="284"/>
      <c r="BF276" s="283">
        <v>23.2</v>
      </c>
      <c r="BG276" s="283"/>
      <c r="BH276" s="283"/>
      <c r="BI276" s="3"/>
    </row>
    <row r="277" spans="56:61" x14ac:dyDescent="0.15">
      <c r="BD277" s="284"/>
      <c r="BE277" s="284"/>
      <c r="BF277" s="283">
        <v>23.1</v>
      </c>
      <c r="BG277" s="283"/>
      <c r="BH277" s="283"/>
      <c r="BI277" s="3"/>
    </row>
    <row r="278" spans="56:61" x14ac:dyDescent="0.15">
      <c r="BD278" s="284"/>
      <c r="BE278" s="284"/>
      <c r="BF278" s="283">
        <v>23</v>
      </c>
      <c r="BG278" s="283"/>
      <c r="BH278" s="283"/>
      <c r="BI278" s="3"/>
    </row>
    <row r="279" spans="56:61" x14ac:dyDescent="0.15">
      <c r="BD279" s="284"/>
      <c r="BE279" s="284"/>
      <c r="BF279" s="283">
        <v>22.9</v>
      </c>
      <c r="BG279" s="283"/>
      <c r="BH279" s="283"/>
      <c r="BI279" s="3"/>
    </row>
    <row r="280" spans="56:61" x14ac:dyDescent="0.15">
      <c r="BD280" s="284"/>
      <c r="BE280" s="284"/>
      <c r="BF280" s="283">
        <v>22.8</v>
      </c>
      <c r="BG280" s="283"/>
      <c r="BH280" s="283"/>
      <c r="BI280" s="3"/>
    </row>
    <row r="281" spans="56:61" x14ac:dyDescent="0.15">
      <c r="BD281" s="284"/>
      <c r="BE281" s="284"/>
      <c r="BF281" s="283">
        <v>22.7</v>
      </c>
      <c r="BG281" s="283"/>
      <c r="BH281" s="283"/>
      <c r="BI281" s="3"/>
    </row>
    <row r="282" spans="56:61" x14ac:dyDescent="0.15">
      <c r="BD282" s="284"/>
      <c r="BE282" s="284"/>
      <c r="BF282" s="283">
        <v>22.6</v>
      </c>
      <c r="BG282" s="283"/>
      <c r="BH282" s="283"/>
      <c r="BI282" s="3"/>
    </row>
    <row r="283" spans="56:61" x14ac:dyDescent="0.15">
      <c r="BD283" s="284"/>
      <c r="BE283" s="284"/>
      <c r="BF283" s="283">
        <v>22.5</v>
      </c>
      <c r="BG283" s="283"/>
      <c r="BH283" s="283"/>
      <c r="BI283" s="3"/>
    </row>
    <row r="284" spans="56:61" x14ac:dyDescent="0.15">
      <c r="BD284" s="284"/>
      <c r="BE284" s="284"/>
      <c r="BF284" s="283">
        <v>22.4</v>
      </c>
      <c r="BG284" s="283"/>
      <c r="BH284" s="283"/>
      <c r="BI284" s="3"/>
    </row>
    <row r="285" spans="56:61" x14ac:dyDescent="0.15">
      <c r="BD285" s="284"/>
      <c r="BE285" s="284"/>
      <c r="BF285" s="283">
        <v>22.3</v>
      </c>
      <c r="BG285" s="283"/>
      <c r="BH285" s="283"/>
      <c r="BI285" s="3"/>
    </row>
    <row r="286" spans="56:61" x14ac:dyDescent="0.15">
      <c r="BD286" s="284"/>
      <c r="BE286" s="284"/>
      <c r="BF286" s="283">
        <v>22.2</v>
      </c>
      <c r="BG286" s="283"/>
      <c r="BH286" s="283"/>
      <c r="BI286" s="3"/>
    </row>
    <row r="287" spans="56:61" x14ac:dyDescent="0.15">
      <c r="BD287" s="284"/>
      <c r="BE287" s="284"/>
      <c r="BF287" s="283">
        <v>22.1</v>
      </c>
      <c r="BG287" s="283"/>
      <c r="BH287" s="283"/>
      <c r="BI287" s="3"/>
    </row>
    <row r="288" spans="56:61" x14ac:dyDescent="0.15">
      <c r="BD288" s="284"/>
      <c r="BE288" s="284"/>
      <c r="BF288" s="283">
        <v>22</v>
      </c>
      <c r="BG288" s="283"/>
      <c r="BH288" s="283"/>
      <c r="BI288" s="3"/>
    </row>
    <row r="289" spans="56:61" x14ac:dyDescent="0.15">
      <c r="BD289" s="284"/>
      <c r="BE289" s="284"/>
      <c r="BF289" s="283">
        <v>21.9</v>
      </c>
      <c r="BG289" s="283"/>
      <c r="BH289" s="283"/>
      <c r="BI289" s="3"/>
    </row>
    <row r="290" spans="56:61" x14ac:dyDescent="0.15">
      <c r="BD290" s="284"/>
      <c r="BE290" s="284"/>
      <c r="BF290" s="283">
        <v>21.8</v>
      </c>
      <c r="BG290" s="283"/>
      <c r="BH290" s="283"/>
      <c r="BI290" s="3"/>
    </row>
    <row r="291" spans="56:61" x14ac:dyDescent="0.15">
      <c r="BD291" s="284"/>
      <c r="BE291" s="284"/>
      <c r="BF291" s="283">
        <v>21.7</v>
      </c>
      <c r="BG291" s="283"/>
      <c r="BH291" s="283"/>
      <c r="BI291" s="3"/>
    </row>
    <row r="292" spans="56:61" x14ac:dyDescent="0.15">
      <c r="BD292" s="284"/>
      <c r="BE292" s="284"/>
      <c r="BF292" s="283">
        <v>21.6</v>
      </c>
      <c r="BG292" s="283"/>
      <c r="BH292" s="283"/>
      <c r="BI292" s="3"/>
    </row>
    <row r="293" spans="56:61" x14ac:dyDescent="0.15">
      <c r="BD293" s="284"/>
      <c r="BE293" s="284"/>
      <c r="BF293" s="283">
        <v>21.5</v>
      </c>
      <c r="BG293" s="283"/>
      <c r="BH293" s="283"/>
      <c r="BI293" s="3"/>
    </row>
    <row r="294" spans="56:61" x14ac:dyDescent="0.15">
      <c r="BD294" s="284"/>
      <c r="BE294" s="284"/>
      <c r="BF294" s="283">
        <v>21.4</v>
      </c>
      <c r="BG294" s="283"/>
      <c r="BH294" s="283"/>
      <c r="BI294" s="3"/>
    </row>
    <row r="295" spans="56:61" x14ac:dyDescent="0.15">
      <c r="BD295" s="284"/>
      <c r="BE295" s="284"/>
      <c r="BF295" s="283">
        <v>21.3</v>
      </c>
      <c r="BG295" s="283"/>
      <c r="BH295" s="283"/>
      <c r="BI295" s="3"/>
    </row>
    <row r="296" spans="56:61" x14ac:dyDescent="0.15">
      <c r="BD296" s="284"/>
      <c r="BE296" s="284"/>
      <c r="BF296" s="283">
        <v>21.2</v>
      </c>
      <c r="BG296" s="283"/>
      <c r="BH296" s="283"/>
      <c r="BI296" s="3"/>
    </row>
    <row r="297" spans="56:61" x14ac:dyDescent="0.15">
      <c r="BD297" s="284"/>
      <c r="BE297" s="284"/>
      <c r="BF297" s="283">
        <v>21.1</v>
      </c>
      <c r="BG297" s="283"/>
      <c r="BH297" s="283"/>
      <c r="BI297" s="3"/>
    </row>
    <row r="298" spans="56:61" x14ac:dyDescent="0.15">
      <c r="BD298" s="284"/>
      <c r="BE298" s="284"/>
      <c r="BF298" s="283">
        <v>21</v>
      </c>
      <c r="BG298" s="283"/>
      <c r="BH298" s="283"/>
      <c r="BI298" s="3"/>
    </row>
    <row r="299" spans="56:61" x14ac:dyDescent="0.15">
      <c r="BD299" s="284"/>
      <c r="BE299" s="284"/>
      <c r="BF299" s="283">
        <v>20.9</v>
      </c>
      <c r="BG299" s="283"/>
      <c r="BH299" s="283"/>
      <c r="BI299" s="3"/>
    </row>
    <row r="300" spans="56:61" x14ac:dyDescent="0.15">
      <c r="BD300" s="284"/>
      <c r="BE300" s="284"/>
      <c r="BF300" s="283">
        <v>20.8</v>
      </c>
      <c r="BG300" s="283"/>
      <c r="BH300" s="283"/>
      <c r="BI300" s="3"/>
    </row>
    <row r="301" spans="56:61" x14ac:dyDescent="0.15">
      <c r="BD301" s="284"/>
      <c r="BE301" s="284"/>
      <c r="BF301" s="283">
        <v>20.7</v>
      </c>
      <c r="BG301" s="283"/>
      <c r="BH301" s="283"/>
      <c r="BI301" s="3"/>
    </row>
    <row r="302" spans="56:61" x14ac:dyDescent="0.15">
      <c r="BD302" s="284"/>
      <c r="BE302" s="284"/>
      <c r="BF302" s="283">
        <v>20.6</v>
      </c>
      <c r="BG302" s="283"/>
      <c r="BH302" s="283"/>
      <c r="BI302" s="3"/>
    </row>
    <row r="303" spans="56:61" x14ac:dyDescent="0.15">
      <c r="BD303" s="284"/>
      <c r="BE303" s="284"/>
      <c r="BF303" s="283">
        <v>20.5</v>
      </c>
      <c r="BG303" s="283"/>
      <c r="BH303" s="283"/>
      <c r="BI303" s="3"/>
    </row>
    <row r="304" spans="56:61" x14ac:dyDescent="0.15">
      <c r="BD304" s="284"/>
      <c r="BE304" s="284"/>
      <c r="BF304" s="283">
        <v>20.399999999999999</v>
      </c>
      <c r="BG304" s="283"/>
      <c r="BH304" s="283"/>
      <c r="BI304" s="3"/>
    </row>
    <row r="305" spans="56:61" x14ac:dyDescent="0.15">
      <c r="BD305" s="284"/>
      <c r="BE305" s="284"/>
      <c r="BF305" s="283">
        <v>20.3</v>
      </c>
      <c r="BG305" s="283"/>
      <c r="BH305" s="283"/>
      <c r="BI305" s="3"/>
    </row>
    <row r="306" spans="56:61" x14ac:dyDescent="0.15">
      <c r="BD306" s="284"/>
      <c r="BE306" s="284"/>
      <c r="BF306" s="283">
        <v>20.2</v>
      </c>
      <c r="BG306" s="283"/>
      <c r="BH306" s="283"/>
      <c r="BI306" s="3"/>
    </row>
    <row r="307" spans="56:61" x14ac:dyDescent="0.15">
      <c r="BD307" s="284"/>
      <c r="BE307" s="284"/>
      <c r="BF307" s="283">
        <v>20.100000000000001</v>
      </c>
      <c r="BG307" s="283"/>
      <c r="BH307" s="283"/>
      <c r="BI307" s="3"/>
    </row>
    <row r="308" spans="56:61" x14ac:dyDescent="0.15">
      <c r="BD308" s="284"/>
      <c r="BE308" s="284"/>
      <c r="BF308" s="283">
        <v>20</v>
      </c>
      <c r="BG308" s="283"/>
      <c r="BH308" s="283"/>
      <c r="BI308" s="3"/>
    </row>
    <row r="309" spans="56:61" x14ac:dyDescent="0.15">
      <c r="BD309" s="284"/>
      <c r="BE309" s="284"/>
      <c r="BF309" s="283">
        <v>19.899999999999999</v>
      </c>
      <c r="BG309" s="283"/>
      <c r="BH309" s="283"/>
      <c r="BI309" s="3"/>
    </row>
    <row r="310" spans="56:61" x14ac:dyDescent="0.15">
      <c r="BD310" s="284"/>
      <c r="BE310" s="284"/>
      <c r="BF310" s="283">
        <v>19.8</v>
      </c>
      <c r="BG310" s="283"/>
      <c r="BH310" s="283"/>
      <c r="BI310" s="3"/>
    </row>
    <row r="311" spans="56:61" x14ac:dyDescent="0.15">
      <c r="BD311" s="284"/>
      <c r="BE311" s="284"/>
      <c r="BF311" s="283">
        <v>19.7</v>
      </c>
      <c r="BG311" s="283"/>
      <c r="BH311" s="283"/>
      <c r="BI311" s="3"/>
    </row>
    <row r="312" spans="56:61" x14ac:dyDescent="0.15">
      <c r="BD312" s="284"/>
      <c r="BE312" s="284"/>
      <c r="BF312" s="283">
        <v>19.600000000000001</v>
      </c>
      <c r="BG312" s="283"/>
      <c r="BH312" s="283"/>
      <c r="BI312" s="3"/>
    </row>
    <row r="313" spans="56:61" x14ac:dyDescent="0.15">
      <c r="BD313" s="284"/>
      <c r="BE313" s="284"/>
      <c r="BF313" s="283">
        <v>19.5</v>
      </c>
      <c r="BG313" s="283"/>
      <c r="BH313" s="283"/>
      <c r="BI313" s="3"/>
    </row>
    <row r="314" spans="56:61" x14ac:dyDescent="0.15">
      <c r="BD314" s="284"/>
      <c r="BE314" s="284"/>
      <c r="BF314" s="283">
        <v>19.399999999999999</v>
      </c>
      <c r="BG314" s="283"/>
      <c r="BH314" s="283"/>
      <c r="BI314" s="3"/>
    </row>
    <row r="315" spans="56:61" x14ac:dyDescent="0.15">
      <c r="BD315" s="284"/>
      <c r="BE315" s="284"/>
      <c r="BF315" s="283">
        <v>19.3</v>
      </c>
      <c r="BG315" s="283"/>
      <c r="BH315" s="283"/>
      <c r="BI315" s="3"/>
    </row>
    <row r="316" spans="56:61" x14ac:dyDescent="0.15">
      <c r="BD316" s="284"/>
      <c r="BE316" s="284"/>
      <c r="BF316" s="283">
        <v>19.2</v>
      </c>
      <c r="BG316" s="283"/>
      <c r="BH316" s="283"/>
      <c r="BI316" s="3"/>
    </row>
    <row r="317" spans="56:61" x14ac:dyDescent="0.15">
      <c r="BD317" s="284"/>
      <c r="BE317" s="284"/>
      <c r="BF317" s="283">
        <v>19.100000000000001</v>
      </c>
      <c r="BG317" s="283"/>
      <c r="BH317" s="283"/>
      <c r="BI317" s="3"/>
    </row>
    <row r="318" spans="56:61" x14ac:dyDescent="0.15">
      <c r="BD318" s="284"/>
      <c r="BE318" s="284"/>
      <c r="BF318" s="283">
        <v>19</v>
      </c>
      <c r="BG318" s="283"/>
      <c r="BH318" s="283"/>
      <c r="BI318" s="3"/>
    </row>
    <row r="319" spans="56:61" x14ac:dyDescent="0.15">
      <c r="BD319" s="284"/>
      <c r="BE319" s="284"/>
      <c r="BF319" s="283">
        <v>18.899999999999999</v>
      </c>
      <c r="BG319" s="283"/>
      <c r="BH319" s="283"/>
      <c r="BI319" s="3"/>
    </row>
    <row r="320" spans="56:61" x14ac:dyDescent="0.15">
      <c r="BD320" s="284"/>
      <c r="BE320" s="284"/>
      <c r="BF320" s="283">
        <v>18.8</v>
      </c>
      <c r="BG320" s="283"/>
      <c r="BH320" s="283"/>
      <c r="BI320" s="3"/>
    </row>
    <row r="321" spans="56:61" x14ac:dyDescent="0.15">
      <c r="BD321" s="284"/>
      <c r="BE321" s="284"/>
      <c r="BF321" s="283">
        <v>18.7</v>
      </c>
      <c r="BG321" s="283"/>
      <c r="BH321" s="283"/>
      <c r="BI321" s="3"/>
    </row>
    <row r="322" spans="56:61" x14ac:dyDescent="0.15">
      <c r="BD322" s="284"/>
      <c r="BE322" s="284"/>
      <c r="BF322" s="283">
        <v>18.600000000000001</v>
      </c>
      <c r="BG322" s="283"/>
      <c r="BH322" s="283"/>
      <c r="BI322" s="3"/>
    </row>
    <row r="323" spans="56:61" x14ac:dyDescent="0.15">
      <c r="BD323" s="284"/>
      <c r="BE323" s="284"/>
      <c r="BF323" s="283">
        <v>18.5</v>
      </c>
      <c r="BG323" s="283"/>
      <c r="BH323" s="283"/>
      <c r="BI323" s="3"/>
    </row>
    <row r="324" spans="56:61" x14ac:dyDescent="0.15">
      <c r="BD324" s="284"/>
      <c r="BE324" s="284"/>
      <c r="BF324" s="283">
        <v>18.399999999999999</v>
      </c>
      <c r="BG324" s="283"/>
      <c r="BH324" s="283"/>
      <c r="BI324" s="3"/>
    </row>
    <row r="325" spans="56:61" x14ac:dyDescent="0.15">
      <c r="BD325" s="284"/>
      <c r="BE325" s="284"/>
      <c r="BF325" s="283">
        <v>18.3</v>
      </c>
      <c r="BG325" s="283"/>
      <c r="BH325" s="283"/>
      <c r="BI325" s="3"/>
    </row>
    <row r="326" spans="56:61" x14ac:dyDescent="0.15">
      <c r="BD326" s="284"/>
      <c r="BE326" s="284"/>
      <c r="BF326" s="283">
        <v>18.2</v>
      </c>
      <c r="BG326" s="283"/>
      <c r="BH326" s="283"/>
      <c r="BI326" s="3"/>
    </row>
    <row r="327" spans="56:61" x14ac:dyDescent="0.15">
      <c r="BD327" s="284"/>
      <c r="BE327" s="284"/>
      <c r="BF327" s="283">
        <v>18.100000000000001</v>
      </c>
      <c r="BG327" s="283"/>
      <c r="BH327" s="283"/>
      <c r="BI327" s="3"/>
    </row>
    <row r="328" spans="56:61" x14ac:dyDescent="0.15">
      <c r="BD328" s="284"/>
      <c r="BE328" s="284"/>
      <c r="BF328" s="283">
        <v>18</v>
      </c>
      <c r="BG328" s="283"/>
      <c r="BH328" s="283"/>
      <c r="BI328" s="3"/>
    </row>
    <row r="329" spans="56:61" x14ac:dyDescent="0.15">
      <c r="BD329" s="284"/>
      <c r="BE329" s="284"/>
      <c r="BF329" s="283">
        <v>17.899999999999999</v>
      </c>
      <c r="BG329" s="283"/>
      <c r="BH329" s="283"/>
      <c r="BI329" s="3"/>
    </row>
    <row r="330" spans="56:61" x14ac:dyDescent="0.15">
      <c r="BD330" s="284"/>
      <c r="BE330" s="284"/>
      <c r="BF330" s="283">
        <v>17.8</v>
      </c>
      <c r="BG330" s="283"/>
      <c r="BH330" s="283"/>
      <c r="BI330" s="3"/>
    </row>
    <row r="331" spans="56:61" x14ac:dyDescent="0.15">
      <c r="BD331" s="284"/>
      <c r="BE331" s="284"/>
      <c r="BF331" s="283">
        <v>17.7</v>
      </c>
      <c r="BG331" s="283"/>
      <c r="BH331" s="283"/>
      <c r="BI331" s="3"/>
    </row>
    <row r="332" spans="56:61" x14ac:dyDescent="0.15">
      <c r="BD332" s="284"/>
      <c r="BE332" s="284"/>
      <c r="BF332" s="283">
        <v>17.600000000000001</v>
      </c>
      <c r="BG332" s="283"/>
      <c r="BH332" s="283"/>
      <c r="BI332" s="3"/>
    </row>
    <row r="333" spans="56:61" x14ac:dyDescent="0.15">
      <c r="BD333" s="284"/>
      <c r="BE333" s="284"/>
      <c r="BF333" s="283">
        <v>17.5</v>
      </c>
      <c r="BG333" s="283"/>
      <c r="BH333" s="283"/>
      <c r="BI333" s="3"/>
    </row>
    <row r="334" spans="56:61" x14ac:dyDescent="0.15">
      <c r="BD334" s="284"/>
      <c r="BE334" s="284"/>
      <c r="BF334" s="283">
        <v>17.399999999999999</v>
      </c>
      <c r="BG334" s="283"/>
      <c r="BH334" s="283"/>
      <c r="BI334" s="3"/>
    </row>
    <row r="335" spans="56:61" x14ac:dyDescent="0.15">
      <c r="BD335" s="284"/>
      <c r="BE335" s="284"/>
      <c r="BF335" s="283">
        <v>17.3</v>
      </c>
      <c r="BG335" s="283"/>
      <c r="BH335" s="283"/>
      <c r="BI335" s="3"/>
    </row>
    <row r="336" spans="56:61" x14ac:dyDescent="0.15">
      <c r="BD336" s="284"/>
      <c r="BE336" s="284"/>
      <c r="BF336" s="283">
        <v>17.2</v>
      </c>
      <c r="BG336" s="283"/>
      <c r="BH336" s="283"/>
      <c r="BI336" s="3"/>
    </row>
    <row r="337" spans="56:61" x14ac:dyDescent="0.15">
      <c r="BD337" s="284"/>
      <c r="BE337" s="284"/>
      <c r="BF337" s="283">
        <v>17.100000000000001</v>
      </c>
      <c r="BG337" s="283"/>
      <c r="BH337" s="283"/>
      <c r="BI337" s="3"/>
    </row>
    <row r="338" spans="56:61" x14ac:dyDescent="0.15">
      <c r="BD338" s="284"/>
      <c r="BE338" s="284"/>
      <c r="BF338" s="283">
        <v>17</v>
      </c>
      <c r="BG338" s="283"/>
      <c r="BH338" s="283"/>
      <c r="BI338" s="3"/>
    </row>
    <row r="339" spans="56:61" x14ac:dyDescent="0.15">
      <c r="BD339" s="284"/>
      <c r="BE339" s="284"/>
      <c r="BF339" s="283">
        <v>16.899999999999999</v>
      </c>
      <c r="BG339" s="283"/>
      <c r="BH339" s="283"/>
      <c r="BI339" s="3"/>
    </row>
    <row r="340" spans="56:61" x14ac:dyDescent="0.15">
      <c r="BD340" s="284"/>
      <c r="BE340" s="284"/>
      <c r="BF340" s="283">
        <v>16.8</v>
      </c>
      <c r="BG340" s="283"/>
      <c r="BH340" s="283"/>
      <c r="BI340" s="3"/>
    </row>
    <row r="341" spans="56:61" x14ac:dyDescent="0.15">
      <c r="BD341" s="284"/>
      <c r="BE341" s="284"/>
      <c r="BF341" s="283">
        <v>16.7</v>
      </c>
      <c r="BG341" s="283"/>
      <c r="BH341" s="283"/>
      <c r="BI341" s="3"/>
    </row>
    <row r="342" spans="56:61" x14ac:dyDescent="0.15">
      <c r="BD342" s="284"/>
      <c r="BE342" s="284"/>
      <c r="BF342" s="283">
        <v>16.600000000000001</v>
      </c>
      <c r="BG342" s="283"/>
      <c r="BH342" s="283"/>
      <c r="BI342" s="3"/>
    </row>
    <row r="343" spans="56:61" x14ac:dyDescent="0.15">
      <c r="BD343" s="284"/>
      <c r="BE343" s="284"/>
      <c r="BF343" s="283">
        <v>16.5</v>
      </c>
      <c r="BG343" s="283"/>
      <c r="BH343" s="283"/>
      <c r="BI343" s="3"/>
    </row>
    <row r="344" spans="56:61" x14ac:dyDescent="0.15">
      <c r="BD344" s="284"/>
      <c r="BE344" s="284"/>
      <c r="BF344" s="283">
        <v>16.399999999999999</v>
      </c>
      <c r="BG344" s="283"/>
      <c r="BH344" s="283"/>
      <c r="BI344" s="3"/>
    </row>
    <row r="345" spans="56:61" x14ac:dyDescent="0.15">
      <c r="BD345" s="284"/>
      <c r="BE345" s="284"/>
      <c r="BF345" s="283">
        <v>16.3</v>
      </c>
      <c r="BG345" s="283"/>
      <c r="BH345" s="283"/>
      <c r="BI345" s="3"/>
    </row>
    <row r="346" spans="56:61" x14ac:dyDescent="0.15">
      <c r="BD346" s="284"/>
      <c r="BE346" s="284"/>
      <c r="BF346" s="283">
        <v>16.2</v>
      </c>
      <c r="BG346" s="283"/>
      <c r="BH346" s="283"/>
      <c r="BI346" s="3"/>
    </row>
    <row r="347" spans="56:61" x14ac:dyDescent="0.15">
      <c r="BD347" s="284"/>
      <c r="BE347" s="284"/>
      <c r="BF347" s="283">
        <v>16.100000000000001</v>
      </c>
      <c r="BG347" s="283"/>
      <c r="BH347" s="283"/>
      <c r="BI347" s="3"/>
    </row>
    <row r="348" spans="56:61" x14ac:dyDescent="0.15">
      <c r="BD348" s="284"/>
      <c r="BE348" s="284"/>
      <c r="BF348" s="283">
        <v>16</v>
      </c>
      <c r="BG348" s="283"/>
      <c r="BH348" s="283"/>
      <c r="BI348" s="3"/>
    </row>
    <row r="349" spans="56:61" x14ac:dyDescent="0.15">
      <c r="BD349" s="284"/>
      <c r="BE349" s="284"/>
      <c r="BF349" s="283">
        <v>15.9</v>
      </c>
      <c r="BG349" s="283"/>
      <c r="BH349" s="283"/>
      <c r="BI349" s="3"/>
    </row>
    <row r="350" spans="56:61" x14ac:dyDescent="0.15">
      <c r="BD350" s="284"/>
      <c r="BE350" s="284"/>
      <c r="BF350" s="283">
        <v>15.8</v>
      </c>
      <c r="BG350" s="283"/>
      <c r="BH350" s="283"/>
      <c r="BI350" s="3"/>
    </row>
    <row r="351" spans="56:61" x14ac:dyDescent="0.15">
      <c r="BD351" s="284"/>
      <c r="BE351" s="284"/>
      <c r="BF351" s="283">
        <v>15.7</v>
      </c>
      <c r="BG351" s="283"/>
      <c r="BH351" s="283"/>
      <c r="BI351" s="3"/>
    </row>
    <row r="352" spans="56:61" x14ac:dyDescent="0.15">
      <c r="BD352" s="284"/>
      <c r="BE352" s="284"/>
      <c r="BF352" s="283">
        <v>15.6</v>
      </c>
      <c r="BG352" s="283"/>
      <c r="BH352" s="283"/>
      <c r="BI352" s="3"/>
    </row>
    <row r="353" spans="56:61" x14ac:dyDescent="0.15">
      <c r="BD353" s="284"/>
      <c r="BE353" s="284"/>
      <c r="BF353" s="283">
        <v>15.5</v>
      </c>
      <c r="BG353" s="283"/>
      <c r="BH353" s="283"/>
      <c r="BI353" s="3"/>
    </row>
    <row r="354" spans="56:61" x14ac:dyDescent="0.15">
      <c r="BD354" s="284"/>
      <c r="BE354" s="284"/>
      <c r="BF354" s="283">
        <v>15.4</v>
      </c>
      <c r="BG354" s="283"/>
      <c r="BH354" s="283"/>
      <c r="BI354" s="3"/>
    </row>
    <row r="355" spans="56:61" x14ac:dyDescent="0.15">
      <c r="BD355" s="284"/>
      <c r="BE355" s="284"/>
      <c r="BF355" s="283">
        <v>15.3</v>
      </c>
      <c r="BG355" s="283"/>
      <c r="BH355" s="283"/>
      <c r="BI355" s="3"/>
    </row>
    <row r="356" spans="56:61" x14ac:dyDescent="0.15">
      <c r="BD356" s="284"/>
      <c r="BE356" s="284"/>
      <c r="BF356" s="283">
        <v>15.2</v>
      </c>
      <c r="BG356" s="283"/>
      <c r="BH356" s="283"/>
      <c r="BI356" s="3"/>
    </row>
    <row r="357" spans="56:61" x14ac:dyDescent="0.15">
      <c r="BD357" s="284"/>
      <c r="BE357" s="284"/>
      <c r="BF357" s="283">
        <v>15.1</v>
      </c>
      <c r="BG357" s="283"/>
      <c r="BH357" s="283"/>
      <c r="BI357" s="3"/>
    </row>
    <row r="358" spans="56:61" x14ac:dyDescent="0.15">
      <c r="BD358" s="284"/>
      <c r="BE358" s="284"/>
      <c r="BF358" s="283">
        <v>15</v>
      </c>
      <c r="BG358" s="283"/>
      <c r="BH358" s="283"/>
      <c r="BI358" s="3"/>
    </row>
    <row r="359" spans="56:61" x14ac:dyDescent="0.15">
      <c r="BD359" s="284"/>
      <c r="BE359" s="284"/>
      <c r="BF359" s="288"/>
      <c r="BG359" s="284"/>
      <c r="BH359" s="284"/>
      <c r="BI359" s="3"/>
    </row>
    <row r="360" spans="56:61" x14ac:dyDescent="0.15">
      <c r="BD360" s="284"/>
      <c r="BE360" s="284"/>
      <c r="BF360" s="288"/>
      <c r="BG360" s="284"/>
      <c r="BH360" s="284"/>
      <c r="BI360" s="3"/>
    </row>
    <row r="361" spans="56:61" x14ac:dyDescent="0.15">
      <c r="BD361" s="284"/>
      <c r="BE361" s="284"/>
      <c r="BF361" s="288"/>
      <c r="BG361" s="284"/>
      <c r="BH361" s="284"/>
      <c r="BI361" s="3"/>
    </row>
    <row r="362" spans="56:61" x14ac:dyDescent="0.15">
      <c r="BD362" s="284"/>
      <c r="BE362" s="284"/>
      <c r="BF362" s="288"/>
      <c r="BG362" s="284"/>
      <c r="BH362" s="284"/>
      <c r="BI362" s="3"/>
    </row>
    <row r="363" spans="56:61" x14ac:dyDescent="0.15">
      <c r="BD363" s="284"/>
      <c r="BE363" s="284"/>
      <c r="BF363" s="288"/>
      <c r="BG363" s="284"/>
      <c r="BH363" s="284"/>
      <c r="BI363" s="3"/>
    </row>
    <row r="364" spans="56:61" x14ac:dyDescent="0.15">
      <c r="BD364" s="284"/>
      <c r="BE364" s="284"/>
      <c r="BF364" s="288"/>
      <c r="BG364" s="284"/>
      <c r="BH364" s="284"/>
      <c r="BI364" s="3"/>
    </row>
    <row r="365" spans="56:61" x14ac:dyDescent="0.15">
      <c r="BD365" s="284"/>
      <c r="BE365" s="284"/>
      <c r="BF365" s="288"/>
      <c r="BG365" s="284"/>
      <c r="BH365" s="284"/>
      <c r="BI365" s="3"/>
    </row>
    <row r="366" spans="56:61" x14ac:dyDescent="0.15">
      <c r="BD366" s="284"/>
      <c r="BE366" s="284"/>
      <c r="BF366" s="288"/>
      <c r="BG366" s="284"/>
      <c r="BH366" s="284"/>
      <c r="BI366" s="3"/>
    </row>
    <row r="367" spans="56:61" x14ac:dyDescent="0.15">
      <c r="BD367" s="284"/>
      <c r="BE367" s="284"/>
      <c r="BF367" s="288"/>
      <c r="BG367" s="284"/>
      <c r="BH367" s="284"/>
      <c r="BI367" s="3"/>
    </row>
    <row r="368" spans="56:61" x14ac:dyDescent="0.15">
      <c r="BD368" s="284"/>
      <c r="BE368" s="284"/>
      <c r="BF368" s="288"/>
      <c r="BG368" s="284"/>
      <c r="BH368" s="284"/>
      <c r="BI368" s="3"/>
    </row>
    <row r="369" spans="56:61" x14ac:dyDescent="0.15">
      <c r="BD369" s="284"/>
      <c r="BE369" s="284"/>
      <c r="BF369" s="288"/>
      <c r="BG369" s="284"/>
      <c r="BH369" s="284"/>
      <c r="BI369" s="3"/>
    </row>
    <row r="370" spans="56:61" x14ac:dyDescent="0.15">
      <c r="BD370" s="284"/>
      <c r="BE370" s="284"/>
      <c r="BF370" s="288"/>
      <c r="BG370" s="284"/>
      <c r="BH370" s="284"/>
      <c r="BI370" s="3"/>
    </row>
    <row r="371" spans="56:61" x14ac:dyDescent="0.15">
      <c r="BD371" s="284"/>
      <c r="BE371" s="284"/>
      <c r="BF371" s="288"/>
      <c r="BG371" s="284"/>
      <c r="BH371" s="284"/>
      <c r="BI371" s="3"/>
    </row>
    <row r="372" spans="56:61" x14ac:dyDescent="0.15">
      <c r="BD372" s="284"/>
      <c r="BE372" s="284"/>
      <c r="BF372" s="288"/>
      <c r="BG372" s="284"/>
      <c r="BH372" s="284"/>
      <c r="BI372" s="3"/>
    </row>
    <row r="373" spans="56:61" x14ac:dyDescent="0.15">
      <c r="BD373" s="284"/>
      <c r="BE373" s="284"/>
      <c r="BF373" s="288"/>
      <c r="BG373" s="284"/>
      <c r="BH373" s="284"/>
      <c r="BI373" s="3"/>
    </row>
    <row r="374" spans="56:61" x14ac:dyDescent="0.15">
      <c r="BD374" s="284"/>
      <c r="BE374" s="284"/>
      <c r="BF374" s="288"/>
      <c r="BG374" s="284"/>
      <c r="BH374" s="284"/>
      <c r="BI374" s="3"/>
    </row>
    <row r="375" spans="56:61" x14ac:dyDescent="0.15">
      <c r="BD375" s="3"/>
      <c r="BE375" s="3"/>
      <c r="BF375" s="257"/>
      <c r="BG375" s="3"/>
      <c r="BH375" s="3"/>
      <c r="BI375" s="3"/>
    </row>
    <row r="376" spans="56:61" x14ac:dyDescent="0.15">
      <c r="BD376" s="3"/>
      <c r="BE376" s="3"/>
      <c r="BF376" s="257"/>
      <c r="BG376" s="3"/>
      <c r="BH376" s="3"/>
      <c r="BI376" s="3"/>
    </row>
    <row r="377" spans="56:61" x14ac:dyDescent="0.15">
      <c r="BD377" s="3"/>
      <c r="BE377" s="3"/>
      <c r="BF377" s="257"/>
      <c r="BG377" s="3"/>
      <c r="BH377" s="3"/>
      <c r="BI377" s="3"/>
    </row>
    <row r="378" spans="56:61" x14ac:dyDescent="0.15">
      <c r="BD378" s="3"/>
      <c r="BE378" s="3"/>
      <c r="BF378" s="257"/>
      <c r="BG378" s="3"/>
      <c r="BH378" s="3"/>
      <c r="BI378" s="3"/>
    </row>
    <row r="379" spans="56:61" x14ac:dyDescent="0.15">
      <c r="BF379" s="57"/>
    </row>
    <row r="380" spans="56:61" x14ac:dyDescent="0.15">
      <c r="BF380" s="57"/>
    </row>
    <row r="381" spans="56:61" x14ac:dyDescent="0.15">
      <c r="BF381" s="57"/>
    </row>
    <row r="382" spans="56:61" x14ac:dyDescent="0.15">
      <c r="BF382" s="57"/>
    </row>
    <row r="383" spans="56:61" x14ac:dyDescent="0.15">
      <c r="BF383" s="57"/>
    </row>
    <row r="384" spans="56:61" x14ac:dyDescent="0.15">
      <c r="BF384" s="57"/>
    </row>
    <row r="385" spans="58:58" x14ac:dyDescent="0.15">
      <c r="BF385" s="57"/>
    </row>
    <row r="386" spans="58:58" x14ac:dyDescent="0.15">
      <c r="BF386" s="57"/>
    </row>
    <row r="387" spans="58:58" x14ac:dyDescent="0.15">
      <c r="BF387" s="57"/>
    </row>
    <row r="388" spans="58:58" x14ac:dyDescent="0.15">
      <c r="BF388" s="57"/>
    </row>
    <row r="389" spans="58:58" x14ac:dyDescent="0.15">
      <c r="BF389" s="57"/>
    </row>
    <row r="390" spans="58:58" x14ac:dyDescent="0.15">
      <c r="BF390" s="57"/>
    </row>
    <row r="391" spans="58:58" x14ac:dyDescent="0.15">
      <c r="BF391" s="57"/>
    </row>
    <row r="392" spans="58:58" x14ac:dyDescent="0.15">
      <c r="BF392" s="57"/>
    </row>
    <row r="393" spans="58:58" x14ac:dyDescent="0.15">
      <c r="BF393" s="57"/>
    </row>
    <row r="394" spans="58:58" x14ac:dyDescent="0.15">
      <c r="BF394" s="57"/>
    </row>
  </sheetData>
  <mergeCells count="221">
    <mergeCell ref="AR9:AU10"/>
    <mergeCell ref="I12:M12"/>
    <mergeCell ref="AG2:AI2"/>
    <mergeCell ref="Z31:AA31"/>
    <mergeCell ref="AB31:AB32"/>
    <mergeCell ref="AC31:AG31"/>
    <mergeCell ref="AC32:AG32"/>
    <mergeCell ref="AA26:AA27"/>
    <mergeCell ref="AB26:AF26"/>
    <mergeCell ref="AM26:AW26"/>
    <mergeCell ref="AM27:AR27"/>
    <mergeCell ref="AG26:AG27"/>
    <mergeCell ref="AH26:AL27"/>
    <mergeCell ref="AS27:AU27"/>
    <mergeCell ref="AV27:AW27"/>
    <mergeCell ref="AS28:AW28"/>
    <mergeCell ref="AN13:AR13"/>
    <mergeCell ref="AL18:AR18"/>
    <mergeCell ref="AE23:AF23"/>
    <mergeCell ref="AH23:AJ23"/>
    <mergeCell ref="AK23:AN23"/>
    <mergeCell ref="AT25:AX25"/>
    <mergeCell ref="AE25:AF25"/>
    <mergeCell ref="AM9:AQ10"/>
    <mergeCell ref="AN14:AR14"/>
    <mergeCell ref="A27:A28"/>
    <mergeCell ref="B27:B28"/>
    <mergeCell ref="C27:C28"/>
    <mergeCell ref="D27:H28"/>
    <mergeCell ref="I27:I28"/>
    <mergeCell ref="T27:T28"/>
    <mergeCell ref="U27:U28"/>
    <mergeCell ref="W27:W28"/>
    <mergeCell ref="AB27:AF27"/>
    <mergeCell ref="X27:Y27"/>
    <mergeCell ref="Z28:Z29"/>
    <mergeCell ref="AA28:AA29"/>
    <mergeCell ref="AC28:AC29"/>
    <mergeCell ref="AD28:AJ28"/>
    <mergeCell ref="J27:S27"/>
    <mergeCell ref="A17:H17"/>
    <mergeCell ref="I17:M17"/>
    <mergeCell ref="N17:R17"/>
    <mergeCell ref="S17:W17"/>
    <mergeCell ref="Z17:AD17"/>
    <mergeCell ref="AF17:AJ17"/>
    <mergeCell ref="A15:H15"/>
    <mergeCell ref="I15:M15"/>
    <mergeCell ref="BA6:BB6"/>
    <mergeCell ref="A7:H7"/>
    <mergeCell ref="I7:M7"/>
    <mergeCell ref="N7:R7"/>
    <mergeCell ref="S7:W7"/>
    <mergeCell ref="X7:AA7"/>
    <mergeCell ref="A8:H8"/>
    <mergeCell ref="I8:M8"/>
    <mergeCell ref="N8:R8"/>
    <mergeCell ref="S8:W8"/>
    <mergeCell ref="Y8:AW8"/>
    <mergeCell ref="U5:X5"/>
    <mergeCell ref="A6:H6"/>
    <mergeCell ref="I6:M6"/>
    <mergeCell ref="N6:R6"/>
    <mergeCell ref="S6:W6"/>
    <mergeCell ref="X6:AA6"/>
    <mergeCell ref="A11:H11"/>
    <mergeCell ref="I11:M11"/>
    <mergeCell ref="N11:R11"/>
    <mergeCell ref="S11:W11"/>
    <mergeCell ref="I9:M9"/>
    <mergeCell ref="N9:R9"/>
    <mergeCell ref="S9:W9"/>
    <mergeCell ref="Y9:AD9"/>
    <mergeCell ref="AL9:AL10"/>
    <mergeCell ref="A10:H10"/>
    <mergeCell ref="I10:M10"/>
    <mergeCell ref="N10:R10"/>
    <mergeCell ref="S10:W10"/>
    <mergeCell ref="Y10:AD10"/>
    <mergeCell ref="AF10:AK10"/>
    <mergeCell ref="A9:H9"/>
    <mergeCell ref="A14:H14"/>
    <mergeCell ref="I14:M14"/>
    <mergeCell ref="N14:R14"/>
    <mergeCell ref="S14:W14"/>
    <mergeCell ref="A13:H13"/>
    <mergeCell ref="I13:M13"/>
    <mergeCell ref="N13:R13"/>
    <mergeCell ref="S13:W13"/>
    <mergeCell ref="Y13:AC13"/>
    <mergeCell ref="N12:R12"/>
    <mergeCell ref="S12:W12"/>
    <mergeCell ref="A12:H12"/>
    <mergeCell ref="AE9:AE10"/>
    <mergeCell ref="AF9:AK9"/>
    <mergeCell ref="AD13:AG13"/>
    <mergeCell ref="AH13:AL13"/>
    <mergeCell ref="N15:R15"/>
    <mergeCell ref="S15:W15"/>
    <mergeCell ref="A16:H16"/>
    <mergeCell ref="I16:M16"/>
    <mergeCell ref="N16:R16"/>
    <mergeCell ref="S16:W16"/>
    <mergeCell ref="AH20:AJ20"/>
    <mergeCell ref="AM20:AS20"/>
    <mergeCell ref="A19:H19"/>
    <mergeCell ref="I19:K19"/>
    <mergeCell ref="L19:M19"/>
    <mergeCell ref="N19:R19"/>
    <mergeCell ref="S19:U19"/>
    <mergeCell ref="V19:W19"/>
    <mergeCell ref="A18:H18"/>
    <mergeCell ref="I18:M18"/>
    <mergeCell ref="N18:R18"/>
    <mergeCell ref="S18:W18"/>
    <mergeCell ref="AM37:AR37"/>
    <mergeCell ref="D29:J29"/>
    <mergeCell ref="Z33:AA33"/>
    <mergeCell ref="AC33:AH33"/>
    <mergeCell ref="AM33:AR33"/>
    <mergeCell ref="I21:W21"/>
    <mergeCell ref="Y21:AE21"/>
    <mergeCell ref="AH21:AJ21"/>
    <mergeCell ref="AM21:AS21"/>
    <mergeCell ref="Q23:R23"/>
    <mergeCell ref="T23:V23"/>
    <mergeCell ref="W23:Z23"/>
    <mergeCell ref="AA23:AC23"/>
    <mergeCell ref="A23:H25"/>
    <mergeCell ref="I23:L23"/>
    <mergeCell ref="M23:O23"/>
    <mergeCell ref="I24:L24"/>
    <mergeCell ref="M24:O24"/>
    <mergeCell ref="Q24:R24"/>
    <mergeCell ref="T24:V24"/>
    <mergeCell ref="W24:Z24"/>
    <mergeCell ref="AA24:AC24"/>
    <mergeCell ref="AE24:AF24"/>
    <mergeCell ref="AH24:AJ24"/>
    <mergeCell ref="Q40:AX40"/>
    <mergeCell ref="AO23:AQ23"/>
    <mergeCell ref="AS23:AT23"/>
    <mergeCell ref="U22:AA22"/>
    <mergeCell ref="T25:V25"/>
    <mergeCell ref="W25:Z25"/>
    <mergeCell ref="A21:H21"/>
    <mergeCell ref="AZ28:AZ39"/>
    <mergeCell ref="J28:S28"/>
    <mergeCell ref="X28:Y28"/>
    <mergeCell ref="AD29:AJ29"/>
    <mergeCell ref="AM29:AR29"/>
    <mergeCell ref="AS29:AW29"/>
    <mergeCell ref="AM28:AR28"/>
    <mergeCell ref="AS37:AW37"/>
    <mergeCell ref="Z38:AA38"/>
    <mergeCell ref="AC38:AH38"/>
    <mergeCell ref="AM38:AR38"/>
    <mergeCell ref="AS38:AW38"/>
    <mergeCell ref="AM34:AR34"/>
    <mergeCell ref="AS34:AW34"/>
    <mergeCell ref="AM35:AR35"/>
    <mergeCell ref="AS35:AW35"/>
    <mergeCell ref="AD30:AJ30"/>
    <mergeCell ref="S41:X41"/>
    <mergeCell ref="Z36:AA36"/>
    <mergeCell ref="AC36:AI36"/>
    <mergeCell ref="AH34:AL34"/>
    <mergeCell ref="Q25:R25"/>
    <mergeCell ref="AA25:AC25"/>
    <mergeCell ref="R51:V52"/>
    <mergeCell ref="B45:AW48"/>
    <mergeCell ref="T44:X44"/>
    <mergeCell ref="AM32:AR32"/>
    <mergeCell ref="AS32:AW32"/>
    <mergeCell ref="X50:AB50"/>
    <mergeCell ref="B44:E44"/>
    <mergeCell ref="H44:K44"/>
    <mergeCell ref="N44:Q44"/>
    <mergeCell ref="A39:AH39"/>
    <mergeCell ref="AM39:AR39"/>
    <mergeCell ref="AS39:AW39"/>
    <mergeCell ref="B41:G41"/>
    <mergeCell ref="AM36:AR36"/>
    <mergeCell ref="AS36:AW36"/>
    <mergeCell ref="AM31:AR31"/>
    <mergeCell ref="AS31:AW31"/>
    <mergeCell ref="A30:Y31"/>
    <mergeCell ref="AV57:AW59"/>
    <mergeCell ref="AC50:AE50"/>
    <mergeCell ref="AF50:AG50"/>
    <mergeCell ref="AH50:AJ50"/>
    <mergeCell ref="AK50:AL50"/>
    <mergeCell ref="AB52:AO52"/>
    <mergeCell ref="AM50:AO50"/>
    <mergeCell ref="AP50:AQ50"/>
    <mergeCell ref="K42:AX42"/>
    <mergeCell ref="AA44:AG44"/>
    <mergeCell ref="H1:O2"/>
    <mergeCell ref="AS33:AW33"/>
    <mergeCell ref="Z32:AA32"/>
    <mergeCell ref="Z35:AA35"/>
    <mergeCell ref="AC35:AJ35"/>
    <mergeCell ref="AM1:AX2"/>
    <mergeCell ref="AV23:AX23"/>
    <mergeCell ref="AD22:AH22"/>
    <mergeCell ref="AK22:AR22"/>
    <mergeCell ref="A3:AX3"/>
    <mergeCell ref="A4:AX4"/>
    <mergeCell ref="AV24:AX24"/>
    <mergeCell ref="A32:Y36"/>
    <mergeCell ref="AM30:AR30"/>
    <mergeCell ref="AS30:AW30"/>
    <mergeCell ref="AK24:AQ24"/>
    <mergeCell ref="I25:L25"/>
    <mergeCell ref="AH25:AJ25"/>
    <mergeCell ref="AK25:AS25"/>
    <mergeCell ref="M25:O25"/>
    <mergeCell ref="AL17:AR17"/>
    <mergeCell ref="A20:H20"/>
    <mergeCell ref="I20:W20"/>
    <mergeCell ref="Y20:AE20"/>
  </mergeCells>
  <phoneticPr fontId="2"/>
  <dataValidations count="9">
    <dataValidation type="list" allowBlank="1" showInputMessage="1" showErrorMessage="1" sqref="N44:Q44">
      <formula1>$BH$6:$BH$103</formula1>
    </dataValidation>
    <dataValidation type="list" allowBlank="1" showInputMessage="1" showErrorMessage="1" sqref="H44:K44">
      <formula1>$BH$6:$BH$22</formula1>
    </dataValidation>
    <dataValidation type="list" allowBlank="1" showInputMessage="1" showErrorMessage="1" sqref="AN14:AR14">
      <formula1>$BE$6:$BE$206</formula1>
    </dataValidation>
    <dataValidation type="list" allowBlank="1" showInputMessage="1" showErrorMessage="1" sqref="I7:M18">
      <formula1>$BD$6:$BD$15</formula1>
    </dataValidation>
    <dataValidation type="list" allowBlank="1" showInputMessage="1" showErrorMessage="1" sqref="B41:G41">
      <formula1>$BG$6:$BG$42</formula1>
    </dataValidation>
    <dataValidation type="list" allowBlank="1" showInputMessage="1" showErrorMessage="1" sqref="N18:R18 Q23:R25 AE23:AF25 AS23:AT23">
      <formula1>$BD$6:$BD$23</formula1>
    </dataValidation>
    <dataValidation type="list" allowBlank="1" showInputMessage="1" showErrorMessage="1" sqref="U22:AA22">
      <formula1>$BE$6:$BE$250</formula1>
    </dataValidation>
    <dataValidation type="list" allowBlank="1" showInputMessage="1" showErrorMessage="1" sqref="AV24:AX24">
      <formula1>$BE$6:$BE$66</formula1>
    </dataValidation>
    <dataValidation type="list" allowBlank="1" showInputMessage="1" showErrorMessage="1" sqref="AG2:AI2">
      <formula1>$AZ$27:$BC$27</formula1>
    </dataValidation>
  </dataValidations>
  <printOptions horizontalCentered="1"/>
  <pageMargins left="0.86614173228346458" right="0.39370078740157483" top="0.47244094488188981" bottom="0.31496062992125984" header="0.39370078740157483" footer="0.27559055118110237"/>
  <pageSetup paperSize="9" orientation="portrait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9FF33"/>
  </sheetPr>
  <dimension ref="A1:EE391"/>
  <sheetViews>
    <sheetView showGridLines="0" showZeros="0" view="pageBreakPreview" topLeftCell="A19" zoomScaleSheetLayoutView="100" workbookViewId="0">
      <selection activeCell="CQ51" sqref="CQ51"/>
    </sheetView>
  </sheetViews>
  <sheetFormatPr defaultRowHeight="14.25" x14ac:dyDescent="0.15"/>
  <cols>
    <col min="1" max="115" width="2" customWidth="1"/>
    <col min="116" max="117" width="2.5" customWidth="1"/>
    <col min="118" max="118" width="11.25" customWidth="1"/>
  </cols>
  <sheetData>
    <row r="1" spans="1:135" x14ac:dyDescent="0.15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</row>
    <row r="2" spans="1:135" x14ac:dyDescent="0.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135" ht="17.25" customHeight="1" x14ac:dyDescent="0.15">
      <c r="A3" s="302" t="s">
        <v>302</v>
      </c>
      <c r="B3" s="302"/>
      <c r="C3" s="302"/>
      <c r="D3" s="302"/>
      <c r="E3" s="302"/>
      <c r="F3" s="302"/>
      <c r="G3" s="302"/>
      <c r="I3" s="303" t="s">
        <v>284</v>
      </c>
      <c r="J3" s="302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AH3" s="530"/>
      <c r="AI3" s="531"/>
      <c r="AJ3" s="531"/>
      <c r="AK3" s="531"/>
      <c r="AL3" t="s">
        <v>301</v>
      </c>
      <c r="AT3" s="250" t="s">
        <v>285</v>
      </c>
      <c r="BS3" s="530"/>
      <c r="BT3" s="531"/>
      <c r="BU3" s="531"/>
      <c r="BV3" s="531"/>
      <c r="BW3" s="529" t="s">
        <v>303</v>
      </c>
      <c r="BX3" s="529"/>
      <c r="BY3" s="529"/>
      <c r="BZ3" s="529"/>
      <c r="CA3" s="529"/>
      <c r="CB3" s="529"/>
      <c r="CC3" s="529"/>
      <c r="CD3" s="529"/>
      <c r="CE3" s="250" t="s">
        <v>286</v>
      </c>
      <c r="DD3" s="530"/>
      <c r="DE3" s="531"/>
      <c r="DF3" s="531"/>
      <c r="DG3" s="531"/>
    </row>
    <row r="4" spans="1:135" ht="17.25" customHeight="1" thickBot="1" x14ac:dyDescent="0.2">
      <c r="A4" s="188" t="s">
        <v>249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8"/>
      <c r="V4" s="241" t="str">
        <f>IF(A55=0,"",IF(OR(P42&gt;0,口径75mm以上!A58=0),"起点A～B）",IF(口径75mm以上!AL58=0,"B～C）",IF(口径75mm以上!BW58=0,"C～D）","D～E）"))))</f>
        <v/>
      </c>
      <c r="W4" s="241"/>
      <c r="Z4" s="648" t="s">
        <v>251</v>
      </c>
      <c r="AA4" s="648"/>
      <c r="AB4" s="648"/>
      <c r="AC4" s="647"/>
      <c r="AD4" s="647"/>
      <c r="AE4" s="647"/>
      <c r="AF4" s="269" t="s">
        <v>270</v>
      </c>
      <c r="AG4" s="269"/>
      <c r="AH4" s="532"/>
      <c r="AI4" s="532"/>
      <c r="AJ4" s="532"/>
      <c r="AK4" s="532"/>
      <c r="AL4" s="188" t="s">
        <v>249</v>
      </c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8"/>
      <c r="BF4" s="241" t="str">
        <f>IF(AL55=0,"",IF(V4="起点A～B）","B～C）",IF(V4="B～C）","C～D）",IF(V4="C～D）","D～E）",IF(V4="D～E）","E～F）","")))))</f>
        <v/>
      </c>
      <c r="BG4" s="241"/>
      <c r="BH4" s="241"/>
      <c r="BK4" s="646" t="s">
        <v>251</v>
      </c>
      <c r="BL4" s="646"/>
      <c r="BM4" s="646"/>
      <c r="BN4" s="645"/>
      <c r="BO4" s="645"/>
      <c r="BP4" s="645"/>
      <c r="BQ4" s="188" t="s">
        <v>252</v>
      </c>
      <c r="BR4" s="189"/>
      <c r="BS4" s="532"/>
      <c r="BT4" s="532"/>
      <c r="BU4" s="532"/>
      <c r="BV4" s="532"/>
      <c r="BW4" s="188" t="s">
        <v>249</v>
      </c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8"/>
      <c r="CQ4" s="241" t="str">
        <f>IF(BW55=0,"",IF(BF4="B～C）","C～D）",IF(BF4="C～D）","D～E）",IF(BF4="D～E）","E～F）",IF(BF4="E～F）","F～G）","")))))</f>
        <v/>
      </c>
      <c r="CR4" s="241"/>
      <c r="CS4" s="241"/>
      <c r="CV4" s="646" t="s">
        <v>251</v>
      </c>
      <c r="CW4" s="646"/>
      <c r="CX4" s="646"/>
      <c r="CY4" s="645"/>
      <c r="CZ4" s="645"/>
      <c r="DA4" s="645"/>
      <c r="DB4" s="188" t="s">
        <v>252</v>
      </c>
      <c r="DC4" s="189"/>
      <c r="DD4" s="532"/>
      <c r="DE4" s="532"/>
      <c r="DF4" s="532"/>
      <c r="DG4" s="532"/>
      <c r="DH4" s="97"/>
      <c r="DI4" s="97"/>
      <c r="DJ4" s="97"/>
      <c r="DK4" s="97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</row>
    <row r="5" spans="1:135" ht="17.25" customHeight="1" x14ac:dyDescent="0.15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 t="s">
        <v>250</v>
      </c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61"/>
      <c r="AJ5" s="259"/>
      <c r="AK5" s="260"/>
      <c r="AL5" s="258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 t="s">
        <v>250</v>
      </c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61"/>
      <c r="BU5" s="259"/>
      <c r="BV5" s="260"/>
      <c r="BW5" s="258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 t="s">
        <v>250</v>
      </c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61"/>
      <c r="DF5" s="259"/>
      <c r="DG5" s="260"/>
      <c r="DH5" s="198"/>
      <c r="DI5" s="198"/>
      <c r="DJ5" s="198"/>
      <c r="DK5" s="198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</row>
    <row r="6" spans="1:135" ht="20.25" customHeight="1" x14ac:dyDescent="0.15">
      <c r="A6" s="581" t="s">
        <v>141</v>
      </c>
      <c r="B6" s="541"/>
      <c r="C6" s="541"/>
      <c r="D6" s="541"/>
      <c r="E6" s="541"/>
      <c r="F6" s="541"/>
      <c r="G6" s="575"/>
      <c r="H6" s="573"/>
      <c r="I6" s="573"/>
      <c r="J6" s="573"/>
      <c r="K6" s="207" t="s">
        <v>139</v>
      </c>
      <c r="L6" s="574" t="s">
        <v>140</v>
      </c>
      <c r="M6" s="541"/>
      <c r="N6" s="541"/>
      <c r="O6" s="541"/>
      <c r="P6" s="541"/>
      <c r="Q6" s="575"/>
      <c r="R6" s="576">
        <f>H6</f>
        <v>0</v>
      </c>
      <c r="S6" s="576"/>
      <c r="T6" s="576"/>
      <c r="U6" s="119" t="s">
        <v>139</v>
      </c>
      <c r="V6" s="119" t="s">
        <v>135</v>
      </c>
      <c r="W6" s="534">
        <v>3.5</v>
      </c>
      <c r="X6" s="534"/>
      <c r="Y6" s="534"/>
      <c r="Z6" s="541" t="s">
        <v>138</v>
      </c>
      <c r="AA6" s="541"/>
      <c r="AB6" s="541"/>
      <c r="AC6" s="119" t="s">
        <v>245</v>
      </c>
      <c r="AD6" s="576">
        <f>ROUND(R6*W6,0)</f>
        <v>0</v>
      </c>
      <c r="AE6" s="576"/>
      <c r="AF6" s="576"/>
      <c r="AG6" s="576"/>
      <c r="AH6" s="119" t="s">
        <v>136</v>
      </c>
      <c r="AI6" s="119"/>
      <c r="AJ6" s="119"/>
      <c r="AK6" s="120"/>
      <c r="AL6" s="581" t="s">
        <v>141</v>
      </c>
      <c r="AM6" s="541"/>
      <c r="AN6" s="541"/>
      <c r="AO6" s="541"/>
      <c r="AP6" s="541"/>
      <c r="AQ6" s="541"/>
      <c r="AR6" s="575"/>
      <c r="AS6" s="573"/>
      <c r="AT6" s="573"/>
      <c r="AU6" s="573"/>
      <c r="AV6" s="207" t="s">
        <v>139</v>
      </c>
      <c r="AW6" s="574" t="s">
        <v>140</v>
      </c>
      <c r="AX6" s="541"/>
      <c r="AY6" s="541"/>
      <c r="AZ6" s="541"/>
      <c r="BA6" s="541"/>
      <c r="BB6" s="575"/>
      <c r="BC6" s="576">
        <f>AS6</f>
        <v>0</v>
      </c>
      <c r="BD6" s="576"/>
      <c r="BE6" s="576"/>
      <c r="BF6" s="119" t="s">
        <v>139</v>
      </c>
      <c r="BG6" s="119" t="s">
        <v>135</v>
      </c>
      <c r="BH6" s="534">
        <v>3.5</v>
      </c>
      <c r="BI6" s="534"/>
      <c r="BJ6" s="534"/>
      <c r="BK6" s="541" t="s">
        <v>138</v>
      </c>
      <c r="BL6" s="541"/>
      <c r="BM6" s="541"/>
      <c r="BN6" s="119" t="s">
        <v>245</v>
      </c>
      <c r="BO6" s="576">
        <f>ROUND(BC6*BH6,0)</f>
        <v>0</v>
      </c>
      <c r="BP6" s="576"/>
      <c r="BQ6" s="576"/>
      <c r="BR6" s="576"/>
      <c r="BS6" s="119" t="s">
        <v>136</v>
      </c>
      <c r="BT6" s="119"/>
      <c r="BU6" s="119"/>
      <c r="BV6" s="120"/>
      <c r="BW6" s="581" t="s">
        <v>141</v>
      </c>
      <c r="BX6" s="541"/>
      <c r="BY6" s="541"/>
      <c r="BZ6" s="541"/>
      <c r="CA6" s="541"/>
      <c r="CB6" s="541"/>
      <c r="CC6" s="575"/>
      <c r="CD6" s="573"/>
      <c r="CE6" s="573"/>
      <c r="CF6" s="573"/>
      <c r="CG6" s="207" t="s">
        <v>139</v>
      </c>
      <c r="CH6" s="574" t="s">
        <v>140</v>
      </c>
      <c r="CI6" s="541"/>
      <c r="CJ6" s="541"/>
      <c r="CK6" s="541"/>
      <c r="CL6" s="541"/>
      <c r="CM6" s="575"/>
      <c r="CN6" s="576">
        <f>CD6</f>
        <v>0</v>
      </c>
      <c r="CO6" s="576"/>
      <c r="CP6" s="576"/>
      <c r="CQ6" s="119" t="s">
        <v>139</v>
      </c>
      <c r="CR6" s="119" t="s">
        <v>135</v>
      </c>
      <c r="CS6" s="534">
        <v>3.5</v>
      </c>
      <c r="CT6" s="534"/>
      <c r="CU6" s="534"/>
      <c r="CV6" s="541" t="s">
        <v>138</v>
      </c>
      <c r="CW6" s="541"/>
      <c r="CX6" s="541"/>
      <c r="CY6" s="119" t="s">
        <v>245</v>
      </c>
      <c r="CZ6" s="576">
        <f>ROUND(CN6*CS6,0)</f>
        <v>0</v>
      </c>
      <c r="DA6" s="576"/>
      <c r="DB6" s="576"/>
      <c r="DC6" s="576"/>
      <c r="DD6" s="119" t="s">
        <v>136</v>
      </c>
      <c r="DE6" s="119"/>
      <c r="DF6" s="119"/>
      <c r="DG6" s="120"/>
      <c r="DH6" s="222"/>
      <c r="DI6" s="222"/>
      <c r="DJ6" s="222"/>
      <c r="DK6" s="222"/>
      <c r="DL6" s="106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</row>
    <row r="7" spans="1:135" ht="17.25" customHeight="1" x14ac:dyDescent="0.15">
      <c r="A7" s="581" t="s">
        <v>137</v>
      </c>
      <c r="B7" s="541"/>
      <c r="C7" s="541"/>
      <c r="D7" s="541"/>
      <c r="E7" s="541"/>
      <c r="F7" s="541"/>
      <c r="G7" s="575"/>
      <c r="H7" s="582">
        <f>AD6</f>
        <v>0</v>
      </c>
      <c r="I7" s="576"/>
      <c r="J7" s="576"/>
      <c r="K7" s="119" t="s">
        <v>209</v>
      </c>
      <c r="L7" s="119"/>
      <c r="M7" s="576">
        <v>250</v>
      </c>
      <c r="N7" s="576"/>
      <c r="O7" s="576"/>
      <c r="P7" s="119" t="s">
        <v>261</v>
      </c>
      <c r="Q7" s="119"/>
      <c r="R7" s="119"/>
      <c r="S7" s="119"/>
      <c r="T7" s="119"/>
      <c r="U7" s="119"/>
      <c r="V7" s="119"/>
      <c r="W7" s="576">
        <f>ROUND(H7*M7*1.1,0)</f>
        <v>0</v>
      </c>
      <c r="X7" s="576"/>
      <c r="Y7" s="576"/>
      <c r="Z7" s="576"/>
      <c r="AA7" s="541" t="s">
        <v>262</v>
      </c>
      <c r="AB7" s="541"/>
      <c r="AC7" s="541"/>
      <c r="AD7" s="611">
        <f>ROUND(W7/1000,1)</f>
        <v>0</v>
      </c>
      <c r="AE7" s="611"/>
      <c r="AF7" s="611"/>
      <c r="AG7" s="611"/>
      <c r="AH7" s="119" t="s">
        <v>263</v>
      </c>
      <c r="AI7" s="102"/>
      <c r="AJ7" s="119"/>
      <c r="AK7" s="120"/>
      <c r="AL7" s="581" t="s">
        <v>137</v>
      </c>
      <c r="AM7" s="541"/>
      <c r="AN7" s="541"/>
      <c r="AO7" s="541"/>
      <c r="AP7" s="541"/>
      <c r="AQ7" s="541"/>
      <c r="AR7" s="575"/>
      <c r="AS7" s="582">
        <f>BO6</f>
        <v>0</v>
      </c>
      <c r="AT7" s="576"/>
      <c r="AU7" s="576"/>
      <c r="AV7" s="119" t="s">
        <v>209</v>
      </c>
      <c r="AW7" s="119"/>
      <c r="AX7" s="576">
        <v>250</v>
      </c>
      <c r="AY7" s="576"/>
      <c r="AZ7" s="576"/>
      <c r="BA7" s="119" t="s">
        <v>261</v>
      </c>
      <c r="BB7" s="119"/>
      <c r="BC7" s="119"/>
      <c r="BD7" s="119"/>
      <c r="BE7" s="119"/>
      <c r="BF7" s="119"/>
      <c r="BG7" s="119"/>
      <c r="BH7" s="576">
        <f>ROUND(AS7*AX7*1.1,0)</f>
        <v>0</v>
      </c>
      <c r="BI7" s="576"/>
      <c r="BJ7" s="576"/>
      <c r="BK7" s="576"/>
      <c r="BL7" s="541" t="s">
        <v>262</v>
      </c>
      <c r="BM7" s="541"/>
      <c r="BN7" s="541"/>
      <c r="BO7" s="611">
        <f>ROUND(BH7/1000,1)</f>
        <v>0</v>
      </c>
      <c r="BP7" s="611"/>
      <c r="BQ7" s="611"/>
      <c r="BR7" s="611"/>
      <c r="BS7" s="119" t="s">
        <v>263</v>
      </c>
      <c r="BT7" s="102"/>
      <c r="BU7" s="119"/>
      <c r="BV7" s="120"/>
      <c r="BW7" s="581" t="s">
        <v>137</v>
      </c>
      <c r="BX7" s="541"/>
      <c r="BY7" s="541"/>
      <c r="BZ7" s="541"/>
      <c r="CA7" s="541"/>
      <c r="CB7" s="541"/>
      <c r="CC7" s="575"/>
      <c r="CD7" s="582">
        <f>CZ6</f>
        <v>0</v>
      </c>
      <c r="CE7" s="576"/>
      <c r="CF7" s="576"/>
      <c r="CG7" s="119" t="s">
        <v>209</v>
      </c>
      <c r="CH7" s="119"/>
      <c r="CI7" s="576">
        <v>250</v>
      </c>
      <c r="CJ7" s="576"/>
      <c r="CK7" s="576"/>
      <c r="CL7" s="119" t="s">
        <v>261</v>
      </c>
      <c r="CM7" s="119"/>
      <c r="CN7" s="119"/>
      <c r="CO7" s="119"/>
      <c r="CP7" s="119"/>
      <c r="CQ7" s="119"/>
      <c r="CR7" s="119"/>
      <c r="CS7" s="576">
        <f>ROUND(CD7*CI7*1.1,0)</f>
        <v>0</v>
      </c>
      <c r="CT7" s="576"/>
      <c r="CU7" s="576"/>
      <c r="CV7" s="576"/>
      <c r="CW7" s="541" t="s">
        <v>262</v>
      </c>
      <c r="CX7" s="541"/>
      <c r="CY7" s="541"/>
      <c r="CZ7" s="611">
        <f>ROUND(CS7/1000,1)</f>
        <v>0</v>
      </c>
      <c r="DA7" s="611"/>
      <c r="DB7" s="611"/>
      <c r="DC7" s="611"/>
      <c r="DD7" s="119" t="s">
        <v>263</v>
      </c>
      <c r="DE7" s="102"/>
      <c r="DF7" s="119"/>
      <c r="DG7" s="120"/>
      <c r="DH7" s="222"/>
      <c r="DI7" s="222"/>
      <c r="DJ7" s="222"/>
      <c r="DK7" s="222"/>
      <c r="DL7" s="106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86" t="s">
        <v>242</v>
      </c>
      <c r="DX7" s="102"/>
      <c r="DY7" s="102"/>
      <c r="DZ7" s="102"/>
      <c r="EA7" s="102"/>
      <c r="EB7" s="102"/>
      <c r="EC7" s="102"/>
      <c r="ED7" s="102"/>
      <c r="EE7" s="102"/>
    </row>
    <row r="8" spans="1:135" ht="17.25" customHeight="1" x14ac:dyDescent="0.15">
      <c r="A8" s="406" t="s">
        <v>134</v>
      </c>
      <c r="B8" s="333"/>
      <c r="C8" s="333"/>
      <c r="D8" s="333"/>
      <c r="E8" s="333"/>
      <c r="F8" s="333"/>
      <c r="G8" s="334"/>
      <c r="H8" s="8" t="s">
        <v>133</v>
      </c>
      <c r="I8" s="580">
        <f>AD7</f>
        <v>0</v>
      </c>
      <c r="J8" s="580"/>
      <c r="K8" s="580"/>
      <c r="L8" s="580"/>
      <c r="M8" s="119" t="s">
        <v>264</v>
      </c>
      <c r="N8" s="119"/>
      <c r="O8" s="119"/>
      <c r="P8" s="8"/>
      <c r="Q8" s="119"/>
      <c r="R8" s="119"/>
      <c r="S8" s="8"/>
      <c r="T8" s="8"/>
      <c r="U8" s="8"/>
      <c r="V8" s="8"/>
      <c r="W8" s="8"/>
      <c r="X8" s="612"/>
      <c r="Y8" s="612"/>
      <c r="Z8" s="612"/>
      <c r="AA8" s="612"/>
      <c r="AB8" s="68"/>
      <c r="AC8" s="190" t="s">
        <v>244</v>
      </c>
      <c r="AD8" s="611">
        <f>ROUND((I8/24)*3.3+X8,1)</f>
        <v>0</v>
      </c>
      <c r="AE8" s="611"/>
      <c r="AF8" s="611"/>
      <c r="AG8" s="611"/>
      <c r="AH8" s="613" t="s">
        <v>132</v>
      </c>
      <c r="AI8" s="613"/>
      <c r="AJ8" s="613"/>
      <c r="AK8" s="614"/>
      <c r="AL8" s="406" t="s">
        <v>134</v>
      </c>
      <c r="AM8" s="333"/>
      <c r="AN8" s="333"/>
      <c r="AO8" s="333"/>
      <c r="AP8" s="333"/>
      <c r="AQ8" s="333"/>
      <c r="AR8" s="334"/>
      <c r="AS8" s="8" t="s">
        <v>133</v>
      </c>
      <c r="AT8" s="580">
        <f>BO7</f>
        <v>0</v>
      </c>
      <c r="AU8" s="580"/>
      <c r="AV8" s="580"/>
      <c r="AW8" s="580"/>
      <c r="AX8" s="119" t="s">
        <v>264</v>
      </c>
      <c r="AY8" s="119"/>
      <c r="AZ8" s="119"/>
      <c r="BA8" s="8"/>
      <c r="BB8" s="119"/>
      <c r="BC8" s="119"/>
      <c r="BD8" s="8"/>
      <c r="BE8" s="8"/>
      <c r="BF8" s="8"/>
      <c r="BG8" s="8"/>
      <c r="BH8" s="8"/>
      <c r="BI8" s="612"/>
      <c r="BJ8" s="612"/>
      <c r="BK8" s="612"/>
      <c r="BL8" s="612"/>
      <c r="BM8" s="68"/>
      <c r="BN8" s="190" t="s">
        <v>23</v>
      </c>
      <c r="BO8" s="611">
        <f>ROUND((AT8/24)*3.3+BI8,1)</f>
        <v>0</v>
      </c>
      <c r="BP8" s="611"/>
      <c r="BQ8" s="611"/>
      <c r="BR8" s="611"/>
      <c r="BS8" s="613" t="s">
        <v>132</v>
      </c>
      <c r="BT8" s="613"/>
      <c r="BU8" s="613"/>
      <c r="BV8" s="614"/>
      <c r="BW8" s="406" t="s">
        <v>134</v>
      </c>
      <c r="BX8" s="333"/>
      <c r="BY8" s="333"/>
      <c r="BZ8" s="333"/>
      <c r="CA8" s="333"/>
      <c r="CB8" s="333"/>
      <c r="CC8" s="334"/>
      <c r="CD8" s="8" t="s">
        <v>133</v>
      </c>
      <c r="CE8" s="580">
        <f>CZ7</f>
        <v>0</v>
      </c>
      <c r="CF8" s="580"/>
      <c r="CG8" s="580"/>
      <c r="CH8" s="580"/>
      <c r="CI8" s="119" t="s">
        <v>264</v>
      </c>
      <c r="CJ8" s="119"/>
      <c r="CK8" s="119"/>
      <c r="CL8" s="8"/>
      <c r="CM8" s="119"/>
      <c r="CN8" s="119"/>
      <c r="CO8" s="8"/>
      <c r="CP8" s="8"/>
      <c r="CQ8" s="8"/>
      <c r="CR8" s="8"/>
      <c r="CS8" s="8"/>
      <c r="CT8" s="612"/>
      <c r="CU8" s="612"/>
      <c r="CV8" s="612"/>
      <c r="CW8" s="612"/>
      <c r="CX8" s="68"/>
      <c r="CY8" s="190" t="s">
        <v>23</v>
      </c>
      <c r="CZ8" s="611">
        <f>ROUND((CE8/24)*3.3+CT8,1)</f>
        <v>0</v>
      </c>
      <c r="DA8" s="611"/>
      <c r="DB8" s="611"/>
      <c r="DC8" s="611"/>
      <c r="DD8" s="613" t="s">
        <v>132</v>
      </c>
      <c r="DE8" s="613"/>
      <c r="DF8" s="613"/>
      <c r="DG8" s="614"/>
      <c r="DH8" s="224"/>
      <c r="DI8" s="224"/>
      <c r="DJ8" s="224"/>
      <c r="DK8" s="224"/>
      <c r="DL8" s="106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86" t="s">
        <v>203</v>
      </c>
      <c r="DX8" s="86" t="s">
        <v>91</v>
      </c>
      <c r="DY8" s="86" t="s">
        <v>204</v>
      </c>
      <c r="DZ8" s="86" t="s">
        <v>89</v>
      </c>
      <c r="EA8" s="86" t="s">
        <v>90</v>
      </c>
      <c r="EB8" s="228"/>
      <c r="EC8" s="102"/>
      <c r="ED8" s="102"/>
      <c r="EE8" s="102"/>
    </row>
    <row r="9" spans="1:135" ht="17.25" customHeight="1" x14ac:dyDescent="0.15">
      <c r="A9" s="187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 t="s">
        <v>243</v>
      </c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20"/>
      <c r="AL9" s="187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 t="s">
        <v>243</v>
      </c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20"/>
      <c r="BW9" s="187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 t="s">
        <v>243</v>
      </c>
      <c r="CL9" s="262"/>
      <c r="CM9" s="119"/>
      <c r="CN9" s="119"/>
      <c r="CO9" s="119"/>
      <c r="CP9" s="119"/>
      <c r="CQ9" s="263"/>
      <c r="CR9" s="262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20"/>
      <c r="DH9" s="222"/>
      <c r="DI9" s="222"/>
      <c r="DJ9" s="222"/>
      <c r="DK9" s="222"/>
      <c r="DL9" s="106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270"/>
      <c r="DX9" s="271"/>
      <c r="DY9" s="271"/>
      <c r="DZ9" s="271"/>
      <c r="EA9" s="271"/>
      <c r="EB9" s="106"/>
      <c r="EC9" s="102"/>
      <c r="ED9" s="102"/>
      <c r="EE9" s="102"/>
    </row>
    <row r="10" spans="1:135" ht="16.5" x14ac:dyDescent="0.15">
      <c r="A10" s="389" t="s">
        <v>130</v>
      </c>
      <c r="B10" s="356"/>
      <c r="C10" s="356"/>
      <c r="D10" s="356"/>
      <c r="E10" s="10" t="s">
        <v>129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7"/>
      <c r="AL10" s="389" t="s">
        <v>130</v>
      </c>
      <c r="AM10" s="356"/>
      <c r="AN10" s="356"/>
      <c r="AO10" s="356"/>
      <c r="AP10" s="10" t="s">
        <v>129</v>
      </c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7"/>
      <c r="BW10" s="389" t="s">
        <v>130</v>
      </c>
      <c r="BX10" s="356"/>
      <c r="BY10" s="356"/>
      <c r="BZ10" s="356"/>
      <c r="CA10" s="10" t="s">
        <v>129</v>
      </c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7"/>
      <c r="DH10" s="222"/>
      <c r="DI10" s="222"/>
      <c r="DJ10" s="222"/>
      <c r="DK10" s="222"/>
      <c r="DL10" s="106"/>
      <c r="DM10" s="102"/>
      <c r="DN10" s="102"/>
      <c r="DO10" s="102"/>
      <c r="DP10" s="102"/>
      <c r="DQ10" s="102"/>
      <c r="DR10" s="102"/>
      <c r="DS10" s="102"/>
      <c r="DT10" s="102"/>
      <c r="DU10" s="102"/>
      <c r="DV10" s="102"/>
      <c r="DW10" s="105">
        <v>1</v>
      </c>
      <c r="DX10" s="104">
        <v>1</v>
      </c>
      <c r="DY10" s="102">
        <v>50</v>
      </c>
      <c r="DZ10" s="293">
        <v>0.5</v>
      </c>
      <c r="EA10" s="102">
        <v>0.5</v>
      </c>
      <c r="EB10" s="240"/>
      <c r="EC10" s="102"/>
      <c r="ED10" s="102"/>
      <c r="EE10" s="102"/>
    </row>
    <row r="11" spans="1:135" ht="20.25" customHeight="1" x14ac:dyDescent="0.15">
      <c r="A11" s="389"/>
      <c r="B11" s="356"/>
      <c r="C11" s="356"/>
      <c r="D11" s="356"/>
      <c r="E11" s="221" t="s">
        <v>23</v>
      </c>
      <c r="F11" s="579">
        <v>34</v>
      </c>
      <c r="G11" s="579"/>
      <c r="H11" s="579"/>
      <c r="I11" s="356" t="s">
        <v>265</v>
      </c>
      <c r="J11" s="356"/>
      <c r="K11" s="356"/>
      <c r="L11" s="577">
        <f>H6</f>
        <v>0</v>
      </c>
      <c r="M11" s="577"/>
      <c r="N11" s="577"/>
      <c r="O11" s="578">
        <v>0.7</v>
      </c>
      <c r="P11" s="578"/>
      <c r="Q11" s="222" t="s">
        <v>24</v>
      </c>
      <c r="R11" s="604"/>
      <c r="S11" s="604"/>
      <c r="T11" s="604"/>
      <c r="U11" s="604"/>
      <c r="V11" s="604"/>
      <c r="W11" s="604"/>
      <c r="X11" s="356" t="s">
        <v>266</v>
      </c>
      <c r="Y11" s="356"/>
      <c r="Z11" s="356"/>
      <c r="AA11" s="222" t="s">
        <v>23</v>
      </c>
      <c r="AB11" s="603">
        <f>ROUND(F11*POWER(L11,0.7)+R11,1)</f>
        <v>0</v>
      </c>
      <c r="AC11" s="603"/>
      <c r="AD11" s="603"/>
      <c r="AE11" s="603"/>
      <c r="AF11" s="603"/>
      <c r="AG11" s="554" t="s">
        <v>266</v>
      </c>
      <c r="AH11" s="554"/>
      <c r="AI11" s="554"/>
      <c r="AJ11" s="222"/>
      <c r="AK11" s="7"/>
      <c r="AL11" s="389"/>
      <c r="AM11" s="356"/>
      <c r="AN11" s="356"/>
      <c r="AO11" s="356"/>
      <c r="AP11" s="221" t="s">
        <v>23</v>
      </c>
      <c r="AQ11" s="579">
        <v>34</v>
      </c>
      <c r="AR11" s="579"/>
      <c r="AS11" s="579"/>
      <c r="AT11" s="356" t="s">
        <v>265</v>
      </c>
      <c r="AU11" s="356"/>
      <c r="AV11" s="356"/>
      <c r="AW11" s="577">
        <f>AS6</f>
        <v>0</v>
      </c>
      <c r="AX11" s="577"/>
      <c r="AY11" s="577"/>
      <c r="AZ11" s="578">
        <v>0.7</v>
      </c>
      <c r="BA11" s="578"/>
      <c r="BB11" s="222" t="s">
        <v>24</v>
      </c>
      <c r="BC11" s="604"/>
      <c r="BD11" s="604"/>
      <c r="BE11" s="604"/>
      <c r="BF11" s="604"/>
      <c r="BG11" s="604"/>
      <c r="BH11" s="604"/>
      <c r="BI11" s="356" t="s">
        <v>266</v>
      </c>
      <c r="BJ11" s="356"/>
      <c r="BK11" s="356"/>
      <c r="BL11" s="222" t="s">
        <v>23</v>
      </c>
      <c r="BM11" s="603">
        <f>ROUND(AQ11*POWER(AW11,0.7)+BC11,1)</f>
        <v>0</v>
      </c>
      <c r="BN11" s="603"/>
      <c r="BO11" s="603"/>
      <c r="BP11" s="603"/>
      <c r="BQ11" s="603"/>
      <c r="BR11" s="554" t="s">
        <v>266</v>
      </c>
      <c r="BS11" s="554"/>
      <c r="BT11" s="554"/>
      <c r="BU11" s="222"/>
      <c r="BV11" s="7"/>
      <c r="BW11" s="389"/>
      <c r="BX11" s="356"/>
      <c r="BY11" s="356"/>
      <c r="BZ11" s="356"/>
      <c r="CA11" s="221" t="s">
        <v>23</v>
      </c>
      <c r="CB11" s="579">
        <v>34</v>
      </c>
      <c r="CC11" s="579"/>
      <c r="CD11" s="579"/>
      <c r="CE11" s="356" t="s">
        <v>265</v>
      </c>
      <c r="CF11" s="356"/>
      <c r="CG11" s="356"/>
      <c r="CH11" s="577">
        <f>CD6</f>
        <v>0</v>
      </c>
      <c r="CI11" s="577"/>
      <c r="CJ11" s="577"/>
      <c r="CK11" s="578">
        <v>0.7</v>
      </c>
      <c r="CL11" s="578"/>
      <c r="CM11" s="222" t="s">
        <v>24</v>
      </c>
      <c r="CN11" s="604"/>
      <c r="CO11" s="604"/>
      <c r="CP11" s="604"/>
      <c r="CQ11" s="604"/>
      <c r="CR11" s="604"/>
      <c r="CS11" s="604"/>
      <c r="CT11" s="356" t="s">
        <v>266</v>
      </c>
      <c r="CU11" s="356"/>
      <c r="CV11" s="356"/>
      <c r="CW11" s="222" t="s">
        <v>23</v>
      </c>
      <c r="CX11" s="603">
        <f>ROUND(CB11*POWER(CH11,0.7)+CN11,1)</f>
        <v>0</v>
      </c>
      <c r="CY11" s="603"/>
      <c r="CZ11" s="603"/>
      <c r="DA11" s="603"/>
      <c r="DB11" s="603"/>
      <c r="DC11" s="554" t="s">
        <v>266</v>
      </c>
      <c r="DD11" s="554"/>
      <c r="DE11" s="554"/>
      <c r="DF11" s="222"/>
      <c r="DG11" s="7"/>
      <c r="DH11" s="222"/>
      <c r="DI11" s="222"/>
      <c r="DJ11" s="222"/>
      <c r="DK11" s="222"/>
      <c r="DL11" s="106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5">
        <v>2</v>
      </c>
      <c r="DX11" s="104">
        <v>1.5</v>
      </c>
      <c r="DY11" s="102">
        <v>49.9</v>
      </c>
      <c r="DZ11" s="293">
        <v>0.49</v>
      </c>
      <c r="EA11" s="102">
        <v>0.6</v>
      </c>
      <c r="EB11" s="240"/>
      <c r="EC11" s="102"/>
      <c r="ED11" s="102"/>
      <c r="EE11" s="102"/>
    </row>
    <row r="12" spans="1:135" x14ac:dyDescent="0.15">
      <c r="A12" s="406"/>
      <c r="B12" s="333"/>
      <c r="C12" s="333"/>
      <c r="D12" s="333"/>
      <c r="E12" s="583"/>
      <c r="F12" s="584"/>
      <c r="G12" s="584"/>
      <c r="H12" s="584"/>
      <c r="I12" s="584"/>
      <c r="J12" s="584"/>
      <c r="K12" s="584"/>
      <c r="L12" s="584"/>
      <c r="M12" s="584"/>
      <c r="N12" s="584"/>
      <c r="O12" s="584"/>
      <c r="P12" s="584"/>
      <c r="Q12" s="584"/>
      <c r="R12" s="584"/>
      <c r="S12" s="584"/>
      <c r="T12" s="584"/>
      <c r="U12" s="584"/>
      <c r="V12" s="584"/>
      <c r="W12" s="584"/>
      <c r="X12" s="584"/>
      <c r="Y12" s="584"/>
      <c r="Z12" s="584"/>
      <c r="AA12" s="8" t="s">
        <v>23</v>
      </c>
      <c r="AB12" s="602">
        <f>ROUND((AB11/1000)/60,6)</f>
        <v>0</v>
      </c>
      <c r="AC12" s="602"/>
      <c r="AD12" s="602"/>
      <c r="AE12" s="602"/>
      <c r="AF12" s="602"/>
      <c r="AG12" s="275" t="s">
        <v>267</v>
      </c>
      <c r="AH12" s="8"/>
      <c r="AI12" s="8"/>
      <c r="AJ12" s="8"/>
      <c r="AK12" s="16"/>
      <c r="AL12" s="406"/>
      <c r="AM12" s="333"/>
      <c r="AN12" s="333"/>
      <c r="AO12" s="333"/>
      <c r="AP12" s="583"/>
      <c r="AQ12" s="584"/>
      <c r="AR12" s="584"/>
      <c r="AS12" s="584"/>
      <c r="AT12" s="584"/>
      <c r="AU12" s="584"/>
      <c r="AV12" s="584"/>
      <c r="AW12" s="584"/>
      <c r="AX12" s="584"/>
      <c r="AY12" s="584"/>
      <c r="AZ12" s="584"/>
      <c r="BA12" s="584"/>
      <c r="BB12" s="584"/>
      <c r="BC12" s="584"/>
      <c r="BD12" s="584"/>
      <c r="BE12" s="584"/>
      <c r="BF12" s="584"/>
      <c r="BG12" s="584"/>
      <c r="BH12" s="584"/>
      <c r="BI12" s="584"/>
      <c r="BJ12" s="584"/>
      <c r="BK12" s="584"/>
      <c r="BL12" s="8" t="s">
        <v>23</v>
      </c>
      <c r="BM12" s="602">
        <f>ROUND((BM11/1000)/60,6)</f>
        <v>0</v>
      </c>
      <c r="BN12" s="602"/>
      <c r="BO12" s="602"/>
      <c r="BP12" s="602"/>
      <c r="BQ12" s="602"/>
      <c r="BR12" s="275" t="s">
        <v>267</v>
      </c>
      <c r="BS12" s="8"/>
      <c r="BT12" s="8"/>
      <c r="BU12" s="8"/>
      <c r="BV12" s="16"/>
      <c r="BW12" s="406"/>
      <c r="BX12" s="333"/>
      <c r="BY12" s="333"/>
      <c r="BZ12" s="333"/>
      <c r="CA12" s="583"/>
      <c r="CB12" s="584"/>
      <c r="CC12" s="584"/>
      <c r="CD12" s="584"/>
      <c r="CE12" s="584"/>
      <c r="CF12" s="584"/>
      <c r="CG12" s="584"/>
      <c r="CH12" s="584"/>
      <c r="CI12" s="584"/>
      <c r="CJ12" s="584"/>
      <c r="CK12" s="584"/>
      <c r="CL12" s="584"/>
      <c r="CM12" s="584"/>
      <c r="CN12" s="584"/>
      <c r="CO12" s="584"/>
      <c r="CP12" s="584"/>
      <c r="CQ12" s="584"/>
      <c r="CR12" s="584"/>
      <c r="CS12" s="584"/>
      <c r="CT12" s="584"/>
      <c r="CU12" s="584"/>
      <c r="CV12" s="584"/>
      <c r="CW12" s="8" t="s">
        <v>23</v>
      </c>
      <c r="CX12" s="602">
        <f>ROUND((CX11/1000)/60,6)</f>
        <v>0</v>
      </c>
      <c r="CY12" s="602"/>
      <c r="CZ12" s="602"/>
      <c r="DA12" s="602"/>
      <c r="DB12" s="602"/>
      <c r="DC12" s="275" t="s">
        <v>267</v>
      </c>
      <c r="DD12" s="8"/>
      <c r="DE12" s="8"/>
      <c r="DF12" s="8"/>
      <c r="DG12" s="16"/>
      <c r="DH12" s="222"/>
      <c r="DI12" s="222"/>
      <c r="DJ12" s="222"/>
      <c r="DK12" s="222"/>
      <c r="DL12" s="106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5">
        <v>3</v>
      </c>
      <c r="DX12" s="104">
        <v>2</v>
      </c>
      <c r="DY12" s="102">
        <v>49.8</v>
      </c>
      <c r="DZ12" s="293">
        <v>0.48</v>
      </c>
      <c r="EA12" s="102">
        <v>0.7</v>
      </c>
      <c r="EB12" s="240"/>
      <c r="EC12" s="137"/>
      <c r="ED12" s="137"/>
      <c r="EE12" s="102"/>
    </row>
    <row r="13" spans="1:135" ht="15.75" customHeight="1" x14ac:dyDescent="0.15">
      <c r="A13" s="610" t="s">
        <v>127</v>
      </c>
      <c r="B13" s="351"/>
      <c r="C13" s="351"/>
      <c r="D13" s="351"/>
      <c r="E13" s="540" t="s">
        <v>49</v>
      </c>
      <c r="F13" s="351" t="s">
        <v>23</v>
      </c>
      <c r="G13" s="541" t="s">
        <v>54</v>
      </c>
      <c r="H13" s="541"/>
      <c r="I13" s="541"/>
      <c r="J13" s="541"/>
      <c r="K13" s="542">
        <v>0.37</v>
      </c>
      <c r="L13" s="542"/>
      <c r="M13" s="351" t="s">
        <v>126</v>
      </c>
      <c r="N13" s="351"/>
      <c r="O13" s="351"/>
      <c r="P13" s="566">
        <f>ROUND((POWER(AB11/3.472,0.37))*10,1)</f>
        <v>0</v>
      </c>
      <c r="Q13" s="566"/>
      <c r="R13" s="566"/>
      <c r="S13" s="566"/>
      <c r="T13" s="351" t="s">
        <v>125</v>
      </c>
      <c r="U13" s="351"/>
      <c r="V13" s="568">
        <f>AC4</f>
        <v>0</v>
      </c>
      <c r="W13" s="568"/>
      <c r="X13" s="568"/>
      <c r="Y13" s="568"/>
      <c r="Z13" s="118"/>
      <c r="AA13" s="58" t="s">
        <v>124</v>
      </c>
      <c r="AB13" s="58"/>
      <c r="AC13" s="58"/>
      <c r="AD13" s="58"/>
      <c r="AE13" s="58"/>
      <c r="AF13" s="58"/>
      <c r="AG13" s="58"/>
      <c r="AH13" s="58"/>
      <c r="AI13" s="58"/>
      <c r="AJ13" s="58"/>
      <c r="AK13" s="11"/>
      <c r="AL13" s="610" t="s">
        <v>127</v>
      </c>
      <c r="AM13" s="351"/>
      <c r="AN13" s="351"/>
      <c r="AO13" s="351"/>
      <c r="AP13" s="540" t="s">
        <v>49</v>
      </c>
      <c r="AQ13" s="351" t="s">
        <v>23</v>
      </c>
      <c r="AR13" s="541" t="s">
        <v>54</v>
      </c>
      <c r="AS13" s="541"/>
      <c r="AT13" s="541"/>
      <c r="AU13" s="541"/>
      <c r="AV13" s="542">
        <v>0.37</v>
      </c>
      <c r="AW13" s="542"/>
      <c r="AX13" s="351" t="s">
        <v>126</v>
      </c>
      <c r="AY13" s="351"/>
      <c r="AZ13" s="351"/>
      <c r="BA13" s="566">
        <f>ROUND((POWER(BM11/3.472,0.37))*10,1)</f>
        <v>0</v>
      </c>
      <c r="BB13" s="566"/>
      <c r="BC13" s="566"/>
      <c r="BD13" s="566"/>
      <c r="BE13" s="351" t="s">
        <v>125</v>
      </c>
      <c r="BF13" s="351"/>
      <c r="BG13" s="568">
        <f>BN4</f>
        <v>0</v>
      </c>
      <c r="BH13" s="568"/>
      <c r="BI13" s="568"/>
      <c r="BJ13" s="568"/>
      <c r="BK13" s="118"/>
      <c r="BL13" s="58" t="s">
        <v>124</v>
      </c>
      <c r="BM13" s="58"/>
      <c r="BN13" s="58"/>
      <c r="BO13" s="58"/>
      <c r="BP13" s="58"/>
      <c r="BQ13" s="58"/>
      <c r="BR13" s="58"/>
      <c r="BS13" s="58"/>
      <c r="BT13" s="58"/>
      <c r="BU13" s="58"/>
      <c r="BV13" s="11"/>
      <c r="BW13" s="610" t="s">
        <v>127</v>
      </c>
      <c r="BX13" s="351"/>
      <c r="BY13" s="351"/>
      <c r="BZ13" s="351"/>
      <c r="CA13" s="540" t="s">
        <v>49</v>
      </c>
      <c r="CB13" s="351" t="s">
        <v>23</v>
      </c>
      <c r="CC13" s="541" t="s">
        <v>54</v>
      </c>
      <c r="CD13" s="541"/>
      <c r="CE13" s="541"/>
      <c r="CF13" s="541"/>
      <c r="CG13" s="542">
        <v>0.37</v>
      </c>
      <c r="CH13" s="542"/>
      <c r="CI13" s="351" t="s">
        <v>126</v>
      </c>
      <c r="CJ13" s="351"/>
      <c r="CK13" s="351"/>
      <c r="CL13" s="566">
        <f>ROUND((POWER(CX11/3.472,0.37))*10,1)</f>
        <v>0</v>
      </c>
      <c r="CM13" s="566"/>
      <c r="CN13" s="566"/>
      <c r="CO13" s="566"/>
      <c r="CP13" s="351" t="s">
        <v>125</v>
      </c>
      <c r="CQ13" s="351"/>
      <c r="CR13" s="568">
        <f>CY4</f>
        <v>0</v>
      </c>
      <c r="CS13" s="568"/>
      <c r="CT13" s="568"/>
      <c r="CU13" s="568"/>
      <c r="CV13" s="118"/>
      <c r="CW13" s="58" t="s">
        <v>124</v>
      </c>
      <c r="CX13" s="58"/>
      <c r="CY13" s="58"/>
      <c r="CZ13" s="58"/>
      <c r="DA13" s="58"/>
      <c r="DB13" s="58"/>
      <c r="DC13" s="58"/>
      <c r="DD13" s="58"/>
      <c r="DE13" s="58"/>
      <c r="DF13" s="58"/>
      <c r="DG13" s="11"/>
      <c r="DH13" s="222"/>
      <c r="DI13" s="222"/>
      <c r="DJ13" s="222"/>
      <c r="DK13" s="222"/>
      <c r="DL13" s="106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5">
        <v>4</v>
      </c>
      <c r="DX13" s="104">
        <v>2.5</v>
      </c>
      <c r="DY13" s="102">
        <v>49.699999999999996</v>
      </c>
      <c r="DZ13" s="293">
        <v>0.47</v>
      </c>
      <c r="EA13" s="102">
        <v>0.8</v>
      </c>
      <c r="EB13" s="191"/>
      <c r="EC13" s="106"/>
      <c r="ED13" s="106"/>
      <c r="EE13" s="102"/>
    </row>
    <row r="14" spans="1:135" ht="14.25" customHeight="1" x14ac:dyDescent="0.15">
      <c r="A14" s="406"/>
      <c r="B14" s="333"/>
      <c r="C14" s="333"/>
      <c r="D14" s="333"/>
      <c r="E14" s="332"/>
      <c r="F14" s="333"/>
      <c r="G14" s="541">
        <v>3.472</v>
      </c>
      <c r="H14" s="541"/>
      <c r="I14" s="541"/>
      <c r="J14" s="541"/>
      <c r="K14" s="203"/>
      <c r="L14" s="203"/>
      <c r="M14" s="333"/>
      <c r="N14" s="333"/>
      <c r="O14" s="333"/>
      <c r="P14" s="567"/>
      <c r="Q14" s="567"/>
      <c r="R14" s="567"/>
      <c r="S14" s="567"/>
      <c r="T14" s="333"/>
      <c r="U14" s="333"/>
      <c r="V14" s="569"/>
      <c r="W14" s="569"/>
      <c r="X14" s="569"/>
      <c r="Y14" s="569"/>
      <c r="Z14" s="68"/>
      <c r="AA14" s="8" t="s">
        <v>272</v>
      </c>
      <c r="AB14" s="8"/>
      <c r="AC14" s="8"/>
      <c r="AD14" s="8"/>
      <c r="AE14" s="8"/>
      <c r="AF14" s="8"/>
      <c r="AG14" s="8"/>
      <c r="AH14" s="8"/>
      <c r="AI14" s="8"/>
      <c r="AJ14" s="8"/>
      <c r="AK14" s="16"/>
      <c r="AL14" s="406"/>
      <c r="AM14" s="333"/>
      <c r="AN14" s="333"/>
      <c r="AO14" s="333"/>
      <c r="AP14" s="332"/>
      <c r="AQ14" s="333"/>
      <c r="AR14" s="541">
        <v>3.472</v>
      </c>
      <c r="AS14" s="541"/>
      <c r="AT14" s="541"/>
      <c r="AU14" s="541"/>
      <c r="AV14" s="203"/>
      <c r="AW14" s="203"/>
      <c r="AX14" s="333"/>
      <c r="AY14" s="333"/>
      <c r="AZ14" s="333"/>
      <c r="BA14" s="567"/>
      <c r="BB14" s="567"/>
      <c r="BC14" s="567"/>
      <c r="BD14" s="567"/>
      <c r="BE14" s="333"/>
      <c r="BF14" s="333"/>
      <c r="BG14" s="569"/>
      <c r="BH14" s="569"/>
      <c r="BI14" s="569"/>
      <c r="BJ14" s="569"/>
      <c r="BK14" s="68"/>
      <c r="BL14" s="8" t="s">
        <v>272</v>
      </c>
      <c r="BM14" s="8"/>
      <c r="BN14" s="8"/>
      <c r="BO14" s="8"/>
      <c r="BP14" s="8"/>
      <c r="BQ14" s="8"/>
      <c r="BR14" s="8"/>
      <c r="BS14" s="8"/>
      <c r="BT14" s="8"/>
      <c r="BU14" s="8"/>
      <c r="BV14" s="16"/>
      <c r="BW14" s="406"/>
      <c r="BX14" s="333"/>
      <c r="BY14" s="333"/>
      <c r="BZ14" s="333"/>
      <c r="CA14" s="332"/>
      <c r="CB14" s="333"/>
      <c r="CC14" s="541">
        <v>3.472</v>
      </c>
      <c r="CD14" s="541"/>
      <c r="CE14" s="541"/>
      <c r="CF14" s="541"/>
      <c r="CG14" s="203"/>
      <c r="CH14" s="203"/>
      <c r="CI14" s="333"/>
      <c r="CJ14" s="333"/>
      <c r="CK14" s="333"/>
      <c r="CL14" s="567"/>
      <c r="CM14" s="567"/>
      <c r="CN14" s="567"/>
      <c r="CO14" s="567"/>
      <c r="CP14" s="333"/>
      <c r="CQ14" s="333"/>
      <c r="CR14" s="569"/>
      <c r="CS14" s="569"/>
      <c r="CT14" s="569"/>
      <c r="CU14" s="569"/>
      <c r="CV14" s="68"/>
      <c r="CW14" s="8" t="s">
        <v>272</v>
      </c>
      <c r="CX14" s="8"/>
      <c r="CY14" s="8"/>
      <c r="CZ14" s="8"/>
      <c r="DA14" s="8"/>
      <c r="DB14" s="8"/>
      <c r="DC14" s="8"/>
      <c r="DD14" s="8"/>
      <c r="DE14" s="8"/>
      <c r="DF14" s="8"/>
      <c r="DG14" s="16"/>
      <c r="DH14" s="222"/>
      <c r="DI14" s="222"/>
      <c r="DJ14" s="222"/>
      <c r="DK14" s="222"/>
      <c r="DL14" s="106"/>
      <c r="DM14" s="102"/>
      <c r="DN14" s="102"/>
      <c r="DO14" s="102"/>
      <c r="DP14" s="102"/>
      <c r="DQ14" s="102"/>
      <c r="DR14" s="102"/>
      <c r="DS14" s="102"/>
      <c r="DT14" s="102"/>
      <c r="DU14" s="102"/>
      <c r="DV14" s="102"/>
      <c r="DW14" s="105">
        <v>5</v>
      </c>
      <c r="DX14" s="104">
        <v>3</v>
      </c>
      <c r="DY14" s="102">
        <v>49.599999999999994</v>
      </c>
      <c r="DZ14" s="293">
        <v>0.46</v>
      </c>
      <c r="EA14" s="102">
        <v>0.9</v>
      </c>
      <c r="EB14" s="191"/>
      <c r="EC14" s="106"/>
      <c r="ED14" s="106"/>
      <c r="EE14" s="102"/>
    </row>
    <row r="15" spans="1:135" x14ac:dyDescent="0.15">
      <c r="A15" s="24"/>
      <c r="B15" s="222"/>
      <c r="C15" s="222"/>
      <c r="D15" s="17"/>
      <c r="E15" s="540" t="s">
        <v>183</v>
      </c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543"/>
      <c r="S15" s="543"/>
      <c r="T15" s="543"/>
      <c r="U15" s="543"/>
      <c r="V15" s="543"/>
      <c r="W15" s="351" t="s">
        <v>184</v>
      </c>
      <c r="X15" s="351"/>
      <c r="Y15" s="615">
        <f>Q29</f>
        <v>0</v>
      </c>
      <c r="Z15" s="615"/>
      <c r="AA15" s="615"/>
      <c r="AB15" s="615"/>
      <c r="AC15" s="351" t="s">
        <v>31</v>
      </c>
      <c r="AD15" s="351"/>
      <c r="AE15" s="616">
        <f>ROUND(R15+Y15,1)</f>
        <v>0</v>
      </c>
      <c r="AF15" s="616"/>
      <c r="AG15" s="616"/>
      <c r="AH15" s="616"/>
      <c r="AI15" s="616"/>
      <c r="AJ15" s="351" t="s">
        <v>32</v>
      </c>
      <c r="AK15" s="11"/>
      <c r="AL15" s="24"/>
      <c r="AM15" s="222"/>
      <c r="AN15" s="222"/>
      <c r="AO15" s="17"/>
      <c r="AP15" s="540" t="s">
        <v>183</v>
      </c>
      <c r="AQ15" s="351"/>
      <c r="AR15" s="351"/>
      <c r="AS15" s="351"/>
      <c r="AT15" s="351"/>
      <c r="AU15" s="351"/>
      <c r="AV15" s="351"/>
      <c r="AW15" s="351"/>
      <c r="AX15" s="351"/>
      <c r="AY15" s="351"/>
      <c r="AZ15" s="351"/>
      <c r="BA15" s="351"/>
      <c r="BB15" s="351"/>
      <c r="BC15" s="543"/>
      <c r="BD15" s="543"/>
      <c r="BE15" s="543"/>
      <c r="BF15" s="543"/>
      <c r="BG15" s="543"/>
      <c r="BH15" s="351" t="s">
        <v>184</v>
      </c>
      <c r="BI15" s="351"/>
      <c r="BJ15" s="615">
        <f>BB29</f>
        <v>0</v>
      </c>
      <c r="BK15" s="615"/>
      <c r="BL15" s="615"/>
      <c r="BM15" s="615"/>
      <c r="BN15" s="351" t="s">
        <v>31</v>
      </c>
      <c r="BO15" s="351"/>
      <c r="BP15" s="616">
        <f>ROUND(BC15+BJ15,1)</f>
        <v>0</v>
      </c>
      <c r="BQ15" s="616"/>
      <c r="BR15" s="616"/>
      <c r="BS15" s="616"/>
      <c r="BT15" s="616"/>
      <c r="BU15" s="351" t="s">
        <v>32</v>
      </c>
      <c r="BV15" s="11"/>
      <c r="BW15" s="24"/>
      <c r="BX15" s="222"/>
      <c r="BY15" s="222"/>
      <c r="BZ15" s="17"/>
      <c r="CA15" s="540" t="s">
        <v>183</v>
      </c>
      <c r="CB15" s="351"/>
      <c r="CC15" s="351"/>
      <c r="CD15" s="351"/>
      <c r="CE15" s="351"/>
      <c r="CF15" s="351"/>
      <c r="CG15" s="351"/>
      <c r="CH15" s="351"/>
      <c r="CI15" s="351"/>
      <c r="CJ15" s="351"/>
      <c r="CK15" s="351"/>
      <c r="CL15" s="351"/>
      <c r="CM15" s="351"/>
      <c r="CN15" s="543"/>
      <c r="CO15" s="543"/>
      <c r="CP15" s="543"/>
      <c r="CQ15" s="543"/>
      <c r="CR15" s="543"/>
      <c r="CS15" s="351" t="s">
        <v>184</v>
      </c>
      <c r="CT15" s="351"/>
      <c r="CU15" s="615">
        <f>CM29</f>
        <v>0</v>
      </c>
      <c r="CV15" s="615"/>
      <c r="CW15" s="615"/>
      <c r="CX15" s="615"/>
      <c r="CY15" s="351" t="s">
        <v>31</v>
      </c>
      <c r="CZ15" s="351"/>
      <c r="DA15" s="616">
        <f>ROUND(CN15+CU15,1)</f>
        <v>0</v>
      </c>
      <c r="DB15" s="616"/>
      <c r="DC15" s="616"/>
      <c r="DD15" s="616"/>
      <c r="DE15" s="616"/>
      <c r="DF15" s="351" t="s">
        <v>32</v>
      </c>
      <c r="DG15" s="11"/>
      <c r="DH15" s="222"/>
      <c r="DI15" s="222"/>
      <c r="DJ15" s="222"/>
      <c r="DK15" s="222"/>
      <c r="DL15" s="106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5">
        <v>6</v>
      </c>
      <c r="DX15" s="104">
        <v>3.5</v>
      </c>
      <c r="DY15" s="102">
        <v>49.499999999999993</v>
      </c>
      <c r="DZ15" s="293">
        <v>0.45</v>
      </c>
      <c r="EA15" s="102">
        <v>1</v>
      </c>
      <c r="EB15" s="191"/>
      <c r="EC15" s="106"/>
      <c r="ED15" s="106"/>
      <c r="EE15" s="102"/>
    </row>
    <row r="16" spans="1:135" x14ac:dyDescent="0.15">
      <c r="A16" s="24"/>
      <c r="B16" s="222"/>
      <c r="C16" s="222"/>
      <c r="D16" s="17"/>
      <c r="E16" s="533"/>
      <c r="F16" s="356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544"/>
      <c r="S16" s="544"/>
      <c r="T16" s="544"/>
      <c r="U16" s="544"/>
      <c r="V16" s="544"/>
      <c r="W16" s="356"/>
      <c r="X16" s="356"/>
      <c r="Y16" s="609"/>
      <c r="Z16" s="609"/>
      <c r="AA16" s="609"/>
      <c r="AB16" s="609"/>
      <c r="AC16" s="356"/>
      <c r="AD16" s="356"/>
      <c r="AE16" s="617"/>
      <c r="AF16" s="617"/>
      <c r="AG16" s="617"/>
      <c r="AH16" s="617"/>
      <c r="AI16" s="617"/>
      <c r="AJ16" s="356"/>
      <c r="AK16" s="107"/>
      <c r="AL16" s="24"/>
      <c r="AM16" s="222"/>
      <c r="AN16" s="222"/>
      <c r="AO16" s="17"/>
      <c r="AP16" s="533"/>
      <c r="AQ16" s="356"/>
      <c r="AR16" s="356"/>
      <c r="AS16" s="356"/>
      <c r="AT16" s="356"/>
      <c r="AU16" s="356"/>
      <c r="AV16" s="356"/>
      <c r="AW16" s="356"/>
      <c r="AX16" s="356"/>
      <c r="AY16" s="356"/>
      <c r="AZ16" s="356"/>
      <c r="BA16" s="356"/>
      <c r="BB16" s="356"/>
      <c r="BC16" s="544"/>
      <c r="BD16" s="544"/>
      <c r="BE16" s="544"/>
      <c r="BF16" s="544"/>
      <c r="BG16" s="544"/>
      <c r="BH16" s="356"/>
      <c r="BI16" s="356"/>
      <c r="BJ16" s="609"/>
      <c r="BK16" s="609"/>
      <c r="BL16" s="609"/>
      <c r="BM16" s="609"/>
      <c r="BN16" s="356"/>
      <c r="BO16" s="356"/>
      <c r="BP16" s="617"/>
      <c r="BQ16" s="617"/>
      <c r="BR16" s="617"/>
      <c r="BS16" s="617"/>
      <c r="BT16" s="617"/>
      <c r="BU16" s="356"/>
      <c r="BV16" s="107"/>
      <c r="BW16" s="24"/>
      <c r="BX16" s="222"/>
      <c r="BY16" s="222"/>
      <c r="BZ16" s="17"/>
      <c r="CA16" s="533"/>
      <c r="CB16" s="356"/>
      <c r="CC16" s="356"/>
      <c r="CD16" s="356"/>
      <c r="CE16" s="356"/>
      <c r="CF16" s="356"/>
      <c r="CG16" s="356"/>
      <c r="CH16" s="356"/>
      <c r="CI16" s="356"/>
      <c r="CJ16" s="356"/>
      <c r="CK16" s="356"/>
      <c r="CL16" s="356"/>
      <c r="CM16" s="356"/>
      <c r="CN16" s="544"/>
      <c r="CO16" s="544"/>
      <c r="CP16" s="544"/>
      <c r="CQ16" s="544"/>
      <c r="CR16" s="544"/>
      <c r="CS16" s="356"/>
      <c r="CT16" s="356"/>
      <c r="CU16" s="609"/>
      <c r="CV16" s="609"/>
      <c r="CW16" s="609"/>
      <c r="CX16" s="609"/>
      <c r="CY16" s="356"/>
      <c r="CZ16" s="356"/>
      <c r="DA16" s="617"/>
      <c r="DB16" s="617"/>
      <c r="DC16" s="617"/>
      <c r="DD16" s="617"/>
      <c r="DE16" s="617"/>
      <c r="DF16" s="356"/>
      <c r="DG16" s="107"/>
      <c r="DH16" s="106"/>
      <c r="DI16" s="106"/>
      <c r="DJ16" s="106"/>
      <c r="DK16" s="106"/>
      <c r="DL16" s="106"/>
      <c r="DM16" s="106"/>
      <c r="DN16" s="102" t="s">
        <v>256</v>
      </c>
      <c r="DO16" s="102"/>
      <c r="DP16" s="102"/>
      <c r="DQ16" s="102"/>
      <c r="DR16" s="102"/>
      <c r="DS16" s="102"/>
      <c r="DT16" s="106"/>
      <c r="DU16" s="106"/>
      <c r="DV16" s="102"/>
      <c r="DW16" s="105">
        <v>7</v>
      </c>
      <c r="DX16" s="104">
        <v>4</v>
      </c>
      <c r="DY16" s="102">
        <v>49.399999999999991</v>
      </c>
      <c r="DZ16" s="293">
        <v>0.44</v>
      </c>
      <c r="EA16" s="102">
        <v>1.1000000000000001</v>
      </c>
      <c r="EB16" s="191"/>
      <c r="EC16" s="106"/>
      <c r="ED16" s="106"/>
      <c r="EE16" s="102"/>
    </row>
    <row r="17" spans="1:135" ht="14.25" customHeight="1" x14ac:dyDescent="0.15">
      <c r="A17" s="24"/>
      <c r="B17" s="222"/>
      <c r="C17" s="222"/>
      <c r="D17" s="17"/>
      <c r="E17" s="102"/>
      <c r="F17" s="570" t="s">
        <v>191</v>
      </c>
      <c r="G17" s="570"/>
      <c r="H17" s="570"/>
      <c r="I17" s="570"/>
      <c r="J17" s="570"/>
      <c r="K17" s="570"/>
      <c r="L17" s="570"/>
      <c r="M17" s="570"/>
      <c r="N17" s="570"/>
      <c r="O17" s="570"/>
      <c r="P17" s="571" t="str">
        <f>IF(A55&lt;&gt;1,"口径・水量・延長を入力すると、計算を開始します。","")</f>
        <v>口径・水量・延長を入力すると、計算を開始します。</v>
      </c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152" t="s">
        <v>276</v>
      </c>
      <c r="AB17" s="152"/>
      <c r="AC17" s="152"/>
      <c r="AD17" s="152"/>
      <c r="AE17" s="152"/>
      <c r="AF17" s="152"/>
      <c r="AG17" s="152"/>
      <c r="AH17" s="152"/>
      <c r="AI17" s="152"/>
      <c r="AJ17" s="152"/>
      <c r="AK17" s="7"/>
      <c r="AL17" s="24"/>
      <c r="AM17" s="222"/>
      <c r="AN17" s="222"/>
      <c r="AO17" s="17"/>
      <c r="AP17" s="102"/>
      <c r="AQ17" s="570" t="s">
        <v>191</v>
      </c>
      <c r="AR17" s="570"/>
      <c r="AS17" s="570"/>
      <c r="AT17" s="570"/>
      <c r="AU17" s="570"/>
      <c r="AV17" s="570"/>
      <c r="AW17" s="570"/>
      <c r="AX17" s="570"/>
      <c r="AY17" s="570"/>
      <c r="AZ17" s="570"/>
      <c r="BA17" s="571" t="str">
        <f>IF(AL55&lt;&gt;1,"口径・水量・延長を入力すると、計算を開始します。","")</f>
        <v>口径・水量・延長を入力すると、計算を開始します。</v>
      </c>
      <c r="BB17" s="571"/>
      <c r="BC17" s="571"/>
      <c r="BD17" s="571"/>
      <c r="BE17" s="571"/>
      <c r="BF17" s="571"/>
      <c r="BG17" s="571"/>
      <c r="BH17" s="571"/>
      <c r="BI17" s="571"/>
      <c r="BJ17" s="571"/>
      <c r="BK17" s="571"/>
      <c r="BL17" s="152" t="s">
        <v>277</v>
      </c>
      <c r="BM17" s="152"/>
      <c r="BN17" s="152"/>
      <c r="BO17" s="152"/>
      <c r="BP17" s="152"/>
      <c r="BQ17" s="152"/>
      <c r="BR17" s="152"/>
      <c r="BS17" s="152"/>
      <c r="BT17" s="152"/>
      <c r="BU17" s="152"/>
      <c r="BV17" s="7"/>
      <c r="BW17" s="24"/>
      <c r="BX17" s="222"/>
      <c r="BY17" s="222"/>
      <c r="BZ17" s="17"/>
      <c r="CA17" s="102"/>
      <c r="CB17" s="570" t="s">
        <v>191</v>
      </c>
      <c r="CC17" s="570"/>
      <c r="CD17" s="570"/>
      <c r="CE17" s="570"/>
      <c r="CF17" s="570"/>
      <c r="CG17" s="570"/>
      <c r="CH17" s="570"/>
      <c r="CI17" s="570"/>
      <c r="CJ17" s="570"/>
      <c r="CK17" s="570"/>
      <c r="CL17" s="571" t="str">
        <f>IF(BW55&lt;&gt;1,"口径・水量・延長を入力すると、計算を開始します。","")</f>
        <v>口径・水量・延長を入力すると、計算を開始します。</v>
      </c>
      <c r="CM17" s="571"/>
      <c r="CN17" s="571"/>
      <c r="CO17" s="571"/>
      <c r="CP17" s="571"/>
      <c r="CQ17" s="571"/>
      <c r="CR17" s="571"/>
      <c r="CS17" s="571"/>
      <c r="CT17" s="571"/>
      <c r="CU17" s="571"/>
      <c r="CV17" s="571"/>
      <c r="CW17" s="152" t="s">
        <v>276</v>
      </c>
      <c r="CX17" s="152"/>
      <c r="CY17" s="152"/>
      <c r="CZ17" s="152"/>
      <c r="DA17" s="152"/>
      <c r="DB17" s="152"/>
      <c r="DC17" s="152"/>
      <c r="DD17" s="152"/>
      <c r="DE17" s="152"/>
      <c r="DF17" s="152"/>
      <c r="DG17" s="7"/>
      <c r="DH17" s="222"/>
      <c r="DI17" s="222"/>
      <c r="DJ17" s="222"/>
      <c r="DK17" s="222"/>
      <c r="DL17" s="106"/>
      <c r="DM17" s="106"/>
      <c r="DN17" s="222"/>
      <c r="DO17" s="102">
        <v>13</v>
      </c>
      <c r="DP17" s="102">
        <v>20</v>
      </c>
      <c r="DQ17" s="102">
        <v>25</v>
      </c>
      <c r="DR17" s="102">
        <v>40</v>
      </c>
      <c r="DS17" s="102">
        <v>50</v>
      </c>
      <c r="DT17" s="106"/>
      <c r="DU17" s="106"/>
      <c r="DV17" s="102"/>
      <c r="DW17" s="105">
        <v>8</v>
      </c>
      <c r="DX17" s="104">
        <v>4.5</v>
      </c>
      <c r="DY17" s="102">
        <v>49.29999999999999</v>
      </c>
      <c r="DZ17" s="293">
        <v>0.43</v>
      </c>
      <c r="EA17" s="102">
        <v>1.2</v>
      </c>
      <c r="EB17" s="191"/>
      <c r="EC17" s="106"/>
      <c r="ED17" s="106"/>
      <c r="EE17" s="102"/>
    </row>
    <row r="18" spans="1:135" x14ac:dyDescent="0.15">
      <c r="A18" s="24"/>
      <c r="B18" s="222"/>
      <c r="C18" s="222"/>
      <c r="D18" s="17"/>
      <c r="E18" s="102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1"/>
      <c r="Q18" s="571"/>
      <c r="R18" s="571"/>
      <c r="S18" s="571"/>
      <c r="T18" s="571"/>
      <c r="U18" s="571"/>
      <c r="V18" s="571"/>
      <c r="W18" s="571"/>
      <c r="X18" s="571"/>
      <c r="Y18" s="571"/>
      <c r="Z18" s="571"/>
      <c r="AA18" s="605" t="s">
        <v>218</v>
      </c>
      <c r="AB18" s="606"/>
      <c r="AC18" s="606"/>
      <c r="AD18" s="606"/>
      <c r="AE18" s="606"/>
      <c r="AF18" s="607"/>
      <c r="AG18" s="622">
        <f>AC4</f>
        <v>0</v>
      </c>
      <c r="AH18" s="623"/>
      <c r="AI18" s="623"/>
      <c r="AJ18" s="624"/>
      <c r="AK18" s="7"/>
      <c r="AL18" s="24"/>
      <c r="AM18" s="222"/>
      <c r="AN18" s="222"/>
      <c r="AO18" s="17"/>
      <c r="AP18" s="102"/>
      <c r="AQ18" s="570"/>
      <c r="AR18" s="570"/>
      <c r="AS18" s="570"/>
      <c r="AT18" s="570"/>
      <c r="AU18" s="570"/>
      <c r="AV18" s="570"/>
      <c r="AW18" s="570"/>
      <c r="AX18" s="570"/>
      <c r="AY18" s="570"/>
      <c r="AZ18" s="570"/>
      <c r="BA18" s="571"/>
      <c r="BB18" s="571"/>
      <c r="BC18" s="571"/>
      <c r="BD18" s="571"/>
      <c r="BE18" s="571"/>
      <c r="BF18" s="571"/>
      <c r="BG18" s="571"/>
      <c r="BH18" s="571"/>
      <c r="BI18" s="571"/>
      <c r="BJ18" s="571"/>
      <c r="BK18" s="571"/>
      <c r="BL18" s="605" t="s">
        <v>155</v>
      </c>
      <c r="BM18" s="606"/>
      <c r="BN18" s="606"/>
      <c r="BO18" s="606"/>
      <c r="BP18" s="606"/>
      <c r="BQ18" s="607"/>
      <c r="BR18" s="622">
        <f>BN4</f>
        <v>0</v>
      </c>
      <c r="BS18" s="623"/>
      <c r="BT18" s="623"/>
      <c r="BU18" s="624"/>
      <c r="BV18" s="7"/>
      <c r="BW18" s="24"/>
      <c r="BX18" s="222"/>
      <c r="BY18" s="222"/>
      <c r="BZ18" s="17"/>
      <c r="CA18" s="102"/>
      <c r="CB18" s="570"/>
      <c r="CC18" s="570"/>
      <c r="CD18" s="570"/>
      <c r="CE18" s="570"/>
      <c r="CF18" s="570"/>
      <c r="CG18" s="570"/>
      <c r="CH18" s="570"/>
      <c r="CI18" s="570"/>
      <c r="CJ18" s="570"/>
      <c r="CK18" s="570"/>
      <c r="CL18" s="571"/>
      <c r="CM18" s="571"/>
      <c r="CN18" s="571"/>
      <c r="CO18" s="571"/>
      <c r="CP18" s="571"/>
      <c r="CQ18" s="571"/>
      <c r="CR18" s="571"/>
      <c r="CS18" s="571"/>
      <c r="CT18" s="571"/>
      <c r="CU18" s="571"/>
      <c r="CV18" s="571"/>
      <c r="CW18" s="605" t="s">
        <v>155</v>
      </c>
      <c r="CX18" s="606"/>
      <c r="CY18" s="606"/>
      <c r="CZ18" s="606"/>
      <c r="DA18" s="606"/>
      <c r="DB18" s="607"/>
      <c r="DC18" s="622">
        <f>CY4</f>
        <v>0</v>
      </c>
      <c r="DD18" s="623"/>
      <c r="DE18" s="623"/>
      <c r="DF18" s="624"/>
      <c r="DG18" s="7"/>
      <c r="DH18" s="222"/>
      <c r="DI18" s="222"/>
      <c r="DJ18" s="222"/>
      <c r="DK18" s="222"/>
      <c r="DL18" s="106"/>
      <c r="DM18" s="106"/>
      <c r="DN18" s="128"/>
      <c r="DO18" s="132">
        <v>13</v>
      </c>
      <c r="DP18" s="132">
        <v>20</v>
      </c>
      <c r="DQ18" s="132">
        <v>25</v>
      </c>
      <c r="DR18" s="132">
        <v>40</v>
      </c>
      <c r="DS18" s="132">
        <v>50</v>
      </c>
      <c r="DT18" s="106"/>
      <c r="DU18" s="106"/>
      <c r="DV18" s="102"/>
      <c r="DW18" s="105">
        <v>9</v>
      </c>
      <c r="DX18" s="104">
        <v>5</v>
      </c>
      <c r="DY18" s="102">
        <v>49.199999999999989</v>
      </c>
      <c r="DZ18" s="293">
        <v>0.42</v>
      </c>
      <c r="EA18" s="102">
        <v>1.3</v>
      </c>
      <c r="EB18" s="106"/>
      <c r="EC18" s="106"/>
      <c r="ED18" s="106"/>
      <c r="EE18" s="102"/>
    </row>
    <row r="19" spans="1:135" x14ac:dyDescent="0.15">
      <c r="A19" s="24"/>
      <c r="B19" s="222"/>
      <c r="C19" s="222"/>
      <c r="D19" s="17"/>
      <c r="E19" s="102"/>
      <c r="F19" s="537" t="s">
        <v>25</v>
      </c>
      <c r="G19" s="537"/>
      <c r="H19" s="537"/>
      <c r="I19" s="537"/>
      <c r="J19" s="537"/>
      <c r="K19" s="539">
        <f>IF(ISERROR(AG19),0,AG19)</f>
        <v>0</v>
      </c>
      <c r="L19" s="539"/>
      <c r="M19" s="539"/>
      <c r="N19" s="149" t="s">
        <v>211</v>
      </c>
      <c r="O19" s="545"/>
      <c r="P19" s="545"/>
      <c r="Q19" s="150" t="s">
        <v>212</v>
      </c>
      <c r="R19" s="563">
        <f t="shared" ref="R19:R27" si="0">ROUND(K19*O19,1)</f>
        <v>0</v>
      </c>
      <c r="S19" s="563"/>
      <c r="T19" s="563"/>
      <c r="U19" s="572" t="str">
        <f>IF(AND(AC4=0,OR(BN4&gt;0,CY4&gt;0)),"ページ順にて残水頭を積算します。　よって、右ページの口径を空欄とし、このページを優先して使用ください。","")</f>
        <v/>
      </c>
      <c r="V19" s="572"/>
      <c r="W19" s="572"/>
      <c r="X19" s="572"/>
      <c r="Y19" s="572"/>
      <c r="Z19" s="572"/>
      <c r="AA19" s="601" t="s">
        <v>25</v>
      </c>
      <c r="AB19" s="601"/>
      <c r="AC19" s="601"/>
      <c r="AD19" s="601"/>
      <c r="AE19" s="601"/>
      <c r="AF19" s="601"/>
      <c r="AG19" s="590">
        <f>IF(ISERROR(HLOOKUP(AG18,$DO$18:$DS$27,2)),0,HLOOKUP(AG18,$DO$18:$DS$27,2))</f>
        <v>0</v>
      </c>
      <c r="AH19" s="591"/>
      <c r="AI19" s="591"/>
      <c r="AJ19" s="592"/>
      <c r="AK19" s="226"/>
      <c r="AL19" s="24"/>
      <c r="AM19" s="222"/>
      <c r="AN19" s="222"/>
      <c r="AO19" s="17"/>
      <c r="AP19" s="102"/>
      <c r="AQ19" s="537" t="s">
        <v>25</v>
      </c>
      <c r="AR19" s="537"/>
      <c r="AS19" s="537"/>
      <c r="AT19" s="537"/>
      <c r="AU19" s="537"/>
      <c r="AV19" s="539">
        <f>IF(ISERROR(BR19),0,BR19)</f>
        <v>0</v>
      </c>
      <c r="AW19" s="539"/>
      <c r="AX19" s="539"/>
      <c r="AY19" s="149" t="s">
        <v>33</v>
      </c>
      <c r="AZ19" s="545"/>
      <c r="BA19" s="545"/>
      <c r="BB19" s="150" t="s">
        <v>23</v>
      </c>
      <c r="BC19" s="563">
        <f t="shared" ref="BC19:BC27" si="1">ROUND(AV19*AZ19,1)</f>
        <v>0</v>
      </c>
      <c r="BD19" s="563"/>
      <c r="BE19" s="563"/>
      <c r="BF19" s="572" t="str">
        <f>IF(AND(BN4&gt;0,AC4=0),"ページ順にて残水頭を積算します。　よって、このページの口径を空欄とし、左ページを優先して使用ください。",IF(AND(CY4&gt;0,BN4=0),"ページ順にて残水頭を積算します。　よって、右ページの口径を空欄とし、このページを優先して使用ください。",""))</f>
        <v/>
      </c>
      <c r="BG19" s="572"/>
      <c r="BH19" s="572"/>
      <c r="BI19" s="572"/>
      <c r="BJ19" s="572"/>
      <c r="BK19" s="572"/>
      <c r="BL19" s="601" t="s">
        <v>25</v>
      </c>
      <c r="BM19" s="601"/>
      <c r="BN19" s="601"/>
      <c r="BO19" s="601"/>
      <c r="BP19" s="601"/>
      <c r="BQ19" s="601"/>
      <c r="BR19" s="590">
        <f>IF(ISERROR(HLOOKUP(BR18,$DO$18:$DS$27,2)),0,HLOOKUP(BR18,$DO$18:$DS$27,2))</f>
        <v>0</v>
      </c>
      <c r="BS19" s="591"/>
      <c r="BT19" s="591"/>
      <c r="BU19" s="592"/>
      <c r="BV19" s="226"/>
      <c r="BW19" s="24"/>
      <c r="BX19" s="222"/>
      <c r="BY19" s="222"/>
      <c r="BZ19" s="17"/>
      <c r="CA19" s="102"/>
      <c r="CB19" s="537" t="s">
        <v>25</v>
      </c>
      <c r="CC19" s="537"/>
      <c r="CD19" s="537"/>
      <c r="CE19" s="537"/>
      <c r="CF19" s="537"/>
      <c r="CG19" s="539">
        <f>IF(ISERROR(DC19),0,DC19)</f>
        <v>0</v>
      </c>
      <c r="CH19" s="539"/>
      <c r="CI19" s="539"/>
      <c r="CJ19" s="149" t="s">
        <v>33</v>
      </c>
      <c r="CK19" s="545"/>
      <c r="CL19" s="545"/>
      <c r="CM19" s="150" t="s">
        <v>23</v>
      </c>
      <c r="CN19" s="563">
        <f t="shared" ref="CN19:CN27" si="2">ROUND(CG19*CK19,1)</f>
        <v>0</v>
      </c>
      <c r="CO19" s="563"/>
      <c r="CP19" s="563"/>
      <c r="CQ19" s="572" t="str">
        <f>IF(AND(CY4&gt;0,OR(AC4=0,BN4=0)),"ページ順にて残水頭を積算します。　よって、このページの口径を空欄とし、左ページを優先して使用ください。","")</f>
        <v/>
      </c>
      <c r="CR19" s="572"/>
      <c r="CS19" s="572"/>
      <c r="CT19" s="572"/>
      <c r="CU19" s="572"/>
      <c r="CV19" s="572"/>
      <c r="CW19" s="601" t="s">
        <v>25</v>
      </c>
      <c r="CX19" s="601"/>
      <c r="CY19" s="601"/>
      <c r="CZ19" s="601"/>
      <c r="DA19" s="601"/>
      <c r="DB19" s="601"/>
      <c r="DC19" s="590">
        <f>IF(ISERROR(HLOOKUP(DC18,$DO$18:$DS$27,2)),0,HLOOKUP(DC18,$DO$18:$DS$27,2))</f>
        <v>0</v>
      </c>
      <c r="DD19" s="591"/>
      <c r="DE19" s="591"/>
      <c r="DF19" s="592"/>
      <c r="DG19" s="226"/>
      <c r="DH19" s="222"/>
      <c r="DI19" s="222"/>
      <c r="DJ19" s="222"/>
      <c r="DK19" s="222"/>
      <c r="DL19" s="106"/>
      <c r="DM19" s="106"/>
      <c r="DN19" s="134" t="s">
        <v>25</v>
      </c>
      <c r="DO19" s="193">
        <v>1.5</v>
      </c>
      <c r="DP19" s="193">
        <v>2</v>
      </c>
      <c r="DQ19" s="193">
        <v>3</v>
      </c>
      <c r="DR19" s="193">
        <v>4</v>
      </c>
      <c r="DS19" s="193">
        <v>5</v>
      </c>
      <c r="DT19" s="106"/>
      <c r="DU19" s="106"/>
      <c r="DV19" s="102"/>
      <c r="DW19" s="105">
        <v>10</v>
      </c>
      <c r="DX19" s="104">
        <v>5.5</v>
      </c>
      <c r="DY19" s="102">
        <v>49.099999999999987</v>
      </c>
      <c r="DZ19" s="293">
        <v>0.41</v>
      </c>
      <c r="EA19" s="102">
        <v>1.4</v>
      </c>
      <c r="EB19" s="106"/>
      <c r="EC19" s="106"/>
      <c r="ED19" s="106"/>
      <c r="EE19" s="102"/>
    </row>
    <row r="20" spans="1:135" x14ac:dyDescent="0.15">
      <c r="A20" s="108"/>
      <c r="B20" s="222"/>
      <c r="C20" s="222"/>
      <c r="D20" s="17"/>
      <c r="E20" s="102"/>
      <c r="F20" s="537" t="s">
        <v>26</v>
      </c>
      <c r="G20" s="537"/>
      <c r="H20" s="537"/>
      <c r="I20" s="537"/>
      <c r="J20" s="537"/>
      <c r="K20" s="539">
        <f t="shared" ref="K20:K27" si="3">IF(ISERROR(AG20),0,AG20)</f>
        <v>0</v>
      </c>
      <c r="L20" s="539"/>
      <c r="M20" s="539"/>
      <c r="N20" s="149" t="s">
        <v>211</v>
      </c>
      <c r="O20" s="545"/>
      <c r="P20" s="545"/>
      <c r="Q20" s="150" t="s">
        <v>212</v>
      </c>
      <c r="R20" s="563">
        <f t="shared" si="0"/>
        <v>0</v>
      </c>
      <c r="S20" s="563"/>
      <c r="T20" s="563"/>
      <c r="U20" s="572"/>
      <c r="V20" s="572"/>
      <c r="W20" s="572"/>
      <c r="X20" s="572"/>
      <c r="Y20" s="572"/>
      <c r="Z20" s="572"/>
      <c r="AA20" s="601" t="s">
        <v>26</v>
      </c>
      <c r="AB20" s="601"/>
      <c r="AC20" s="601"/>
      <c r="AD20" s="601"/>
      <c r="AE20" s="601"/>
      <c r="AF20" s="601"/>
      <c r="AG20" s="590">
        <f>IF(ISERROR(HLOOKUP(AG18,$DO$18:$DS$27,3)),0,HLOOKUP(AG18,$DO$18:$DS$27,3))</f>
        <v>0</v>
      </c>
      <c r="AH20" s="591"/>
      <c r="AI20" s="591"/>
      <c r="AJ20" s="592"/>
      <c r="AK20" s="7"/>
      <c r="AL20" s="108"/>
      <c r="AM20" s="222"/>
      <c r="AN20" s="222"/>
      <c r="AO20" s="17"/>
      <c r="AP20" s="102"/>
      <c r="AQ20" s="537" t="s">
        <v>26</v>
      </c>
      <c r="AR20" s="537"/>
      <c r="AS20" s="537"/>
      <c r="AT20" s="537"/>
      <c r="AU20" s="537"/>
      <c r="AV20" s="539">
        <f t="shared" ref="AV20:AV27" si="4">IF(ISERROR(BR20),0,BR20)</f>
        <v>0</v>
      </c>
      <c r="AW20" s="539"/>
      <c r="AX20" s="539"/>
      <c r="AY20" s="149" t="s">
        <v>33</v>
      </c>
      <c r="AZ20" s="545"/>
      <c r="BA20" s="545"/>
      <c r="BB20" s="150" t="s">
        <v>23</v>
      </c>
      <c r="BC20" s="563">
        <f t="shared" si="1"/>
        <v>0</v>
      </c>
      <c r="BD20" s="563"/>
      <c r="BE20" s="563"/>
      <c r="BF20" s="572"/>
      <c r="BG20" s="572"/>
      <c r="BH20" s="572"/>
      <c r="BI20" s="572"/>
      <c r="BJ20" s="572"/>
      <c r="BK20" s="572"/>
      <c r="BL20" s="601" t="s">
        <v>26</v>
      </c>
      <c r="BM20" s="601"/>
      <c r="BN20" s="601"/>
      <c r="BO20" s="601"/>
      <c r="BP20" s="601"/>
      <c r="BQ20" s="601"/>
      <c r="BR20" s="590">
        <f>IF(ISERROR(HLOOKUP(BR18,$DO$18:$DS$27,3)),0,HLOOKUP(BR18,$DO$18:$DS$27,3))</f>
        <v>0</v>
      </c>
      <c r="BS20" s="591"/>
      <c r="BT20" s="591"/>
      <c r="BU20" s="592"/>
      <c r="BV20" s="7"/>
      <c r="BW20" s="108"/>
      <c r="BX20" s="222"/>
      <c r="BY20" s="222"/>
      <c r="BZ20" s="17"/>
      <c r="CA20" s="102"/>
      <c r="CB20" s="537" t="s">
        <v>26</v>
      </c>
      <c r="CC20" s="537"/>
      <c r="CD20" s="537"/>
      <c r="CE20" s="537"/>
      <c r="CF20" s="537"/>
      <c r="CG20" s="539">
        <f t="shared" ref="CG20:CG27" si="5">IF(ISERROR(DC20),0,DC20)</f>
        <v>0</v>
      </c>
      <c r="CH20" s="539"/>
      <c r="CI20" s="539"/>
      <c r="CJ20" s="149" t="s">
        <v>33</v>
      </c>
      <c r="CK20" s="545"/>
      <c r="CL20" s="545"/>
      <c r="CM20" s="150" t="s">
        <v>23</v>
      </c>
      <c r="CN20" s="563">
        <f t="shared" si="2"/>
        <v>0</v>
      </c>
      <c r="CO20" s="563"/>
      <c r="CP20" s="563"/>
      <c r="CQ20" s="572"/>
      <c r="CR20" s="572"/>
      <c r="CS20" s="572"/>
      <c r="CT20" s="572"/>
      <c r="CU20" s="572"/>
      <c r="CV20" s="572"/>
      <c r="CW20" s="601" t="s">
        <v>26</v>
      </c>
      <c r="CX20" s="601"/>
      <c r="CY20" s="601"/>
      <c r="CZ20" s="601"/>
      <c r="DA20" s="601"/>
      <c r="DB20" s="601"/>
      <c r="DC20" s="590">
        <f>IF(ISERROR(HLOOKUP(DC18,$DO$18:$DS$27,3)),0,HLOOKUP(DC18,$DO$18:$DS$27,3))</f>
        <v>0</v>
      </c>
      <c r="DD20" s="591"/>
      <c r="DE20" s="591"/>
      <c r="DF20" s="592"/>
      <c r="DG20" s="7"/>
      <c r="DH20" s="222"/>
      <c r="DI20" s="222"/>
      <c r="DJ20" s="222"/>
      <c r="DK20" s="222"/>
      <c r="DL20" s="106"/>
      <c r="DM20" s="102"/>
      <c r="DN20" s="134" t="s">
        <v>26</v>
      </c>
      <c r="DO20" s="193">
        <v>3</v>
      </c>
      <c r="DP20" s="193">
        <v>8</v>
      </c>
      <c r="DQ20" s="193">
        <v>10</v>
      </c>
      <c r="DR20" s="193">
        <v>25</v>
      </c>
      <c r="DS20" s="193">
        <v>30</v>
      </c>
      <c r="DT20" s="102"/>
      <c r="DU20" s="102"/>
      <c r="DV20" s="102"/>
      <c r="DW20" s="105">
        <v>11</v>
      </c>
      <c r="DX20" s="104">
        <v>6</v>
      </c>
      <c r="DY20" s="102">
        <v>48.999999999999986</v>
      </c>
      <c r="DZ20" s="293">
        <v>0.4</v>
      </c>
      <c r="EA20" s="102">
        <v>1.5</v>
      </c>
      <c r="EB20" s="106"/>
      <c r="EC20" s="106"/>
      <c r="ED20" s="106"/>
      <c r="EE20" s="102"/>
    </row>
    <row r="21" spans="1:135" x14ac:dyDescent="0.15">
      <c r="A21" s="24" t="s">
        <v>121</v>
      </c>
      <c r="B21" s="222"/>
      <c r="C21" s="222"/>
      <c r="D21" s="17"/>
      <c r="E21" s="102"/>
      <c r="F21" s="537" t="s">
        <v>225</v>
      </c>
      <c r="G21" s="537"/>
      <c r="H21" s="537"/>
      <c r="I21" s="537"/>
      <c r="J21" s="537"/>
      <c r="K21" s="539">
        <f t="shared" si="3"/>
        <v>0</v>
      </c>
      <c r="L21" s="539"/>
      <c r="M21" s="539"/>
      <c r="N21" s="149" t="s">
        <v>211</v>
      </c>
      <c r="O21" s="545"/>
      <c r="P21" s="545"/>
      <c r="Q21" s="150" t="s">
        <v>212</v>
      </c>
      <c r="R21" s="563">
        <f t="shared" si="0"/>
        <v>0</v>
      </c>
      <c r="S21" s="563"/>
      <c r="T21" s="563"/>
      <c r="U21" s="572"/>
      <c r="V21" s="572"/>
      <c r="W21" s="572"/>
      <c r="X21" s="572"/>
      <c r="Y21" s="572"/>
      <c r="Z21" s="572"/>
      <c r="AA21" s="601" t="s">
        <v>225</v>
      </c>
      <c r="AB21" s="601"/>
      <c r="AC21" s="601"/>
      <c r="AD21" s="601"/>
      <c r="AE21" s="601"/>
      <c r="AF21" s="601"/>
      <c r="AG21" s="590">
        <f>IF(ISERROR(HLOOKUP(AG18,$DO$18:$DS$27,4)),0,HLOOKUP(AG18,$DO$18:$DS$27,4))</f>
        <v>0</v>
      </c>
      <c r="AH21" s="591"/>
      <c r="AI21" s="591"/>
      <c r="AJ21" s="592"/>
      <c r="AK21" s="7"/>
      <c r="AL21" s="24" t="s">
        <v>121</v>
      </c>
      <c r="AM21" s="222"/>
      <c r="AN21" s="222"/>
      <c r="AO21" s="17"/>
      <c r="AP21" s="102"/>
      <c r="AQ21" s="537" t="s">
        <v>225</v>
      </c>
      <c r="AR21" s="537"/>
      <c r="AS21" s="537"/>
      <c r="AT21" s="537"/>
      <c r="AU21" s="537"/>
      <c r="AV21" s="539">
        <f t="shared" si="4"/>
        <v>0</v>
      </c>
      <c r="AW21" s="539"/>
      <c r="AX21" s="539"/>
      <c r="AY21" s="149" t="s">
        <v>33</v>
      </c>
      <c r="AZ21" s="545"/>
      <c r="BA21" s="545"/>
      <c r="BB21" s="150" t="s">
        <v>23</v>
      </c>
      <c r="BC21" s="563">
        <f t="shared" si="1"/>
        <v>0</v>
      </c>
      <c r="BD21" s="563"/>
      <c r="BE21" s="563"/>
      <c r="BF21" s="572"/>
      <c r="BG21" s="572"/>
      <c r="BH21" s="572"/>
      <c r="BI21" s="572"/>
      <c r="BJ21" s="572"/>
      <c r="BK21" s="572"/>
      <c r="BL21" s="601" t="s">
        <v>225</v>
      </c>
      <c r="BM21" s="601"/>
      <c r="BN21" s="601"/>
      <c r="BO21" s="601"/>
      <c r="BP21" s="601"/>
      <c r="BQ21" s="601"/>
      <c r="BR21" s="590">
        <f>IF(ISERROR(HLOOKUP(BR18,$DO$18:$DS$27,4)),0,HLOOKUP(BR18,$DO$18:$DS$27,4))</f>
        <v>0</v>
      </c>
      <c r="BS21" s="591"/>
      <c r="BT21" s="591"/>
      <c r="BU21" s="592"/>
      <c r="BV21" s="7"/>
      <c r="BW21" s="24" t="s">
        <v>121</v>
      </c>
      <c r="BX21" s="222"/>
      <c r="BY21" s="222"/>
      <c r="BZ21" s="17"/>
      <c r="CA21" s="102"/>
      <c r="CB21" s="537" t="s">
        <v>225</v>
      </c>
      <c r="CC21" s="537"/>
      <c r="CD21" s="537"/>
      <c r="CE21" s="537"/>
      <c r="CF21" s="537"/>
      <c r="CG21" s="539">
        <f t="shared" si="5"/>
        <v>0</v>
      </c>
      <c r="CH21" s="539"/>
      <c r="CI21" s="539"/>
      <c r="CJ21" s="149" t="s">
        <v>33</v>
      </c>
      <c r="CK21" s="545"/>
      <c r="CL21" s="545"/>
      <c r="CM21" s="150" t="s">
        <v>23</v>
      </c>
      <c r="CN21" s="563">
        <f t="shared" si="2"/>
        <v>0</v>
      </c>
      <c r="CO21" s="563"/>
      <c r="CP21" s="563"/>
      <c r="CQ21" s="572"/>
      <c r="CR21" s="572"/>
      <c r="CS21" s="572"/>
      <c r="CT21" s="572"/>
      <c r="CU21" s="572"/>
      <c r="CV21" s="572"/>
      <c r="CW21" s="601" t="s">
        <v>225</v>
      </c>
      <c r="CX21" s="601"/>
      <c r="CY21" s="601"/>
      <c r="CZ21" s="601"/>
      <c r="DA21" s="601"/>
      <c r="DB21" s="601"/>
      <c r="DC21" s="590">
        <f>IF(ISERROR(HLOOKUP(DC18,$DO$18:$DS$27,4)),0,HLOOKUP(DC18,$DO$18:$DS$27,4))</f>
        <v>0</v>
      </c>
      <c r="DD21" s="591"/>
      <c r="DE21" s="591"/>
      <c r="DF21" s="592"/>
      <c r="DG21" s="7"/>
      <c r="DH21" s="222"/>
      <c r="DI21" s="222"/>
      <c r="DJ21" s="222"/>
      <c r="DK21" s="222"/>
      <c r="DL21" s="102"/>
      <c r="DM21" s="102"/>
      <c r="DN21" s="134" t="s">
        <v>119</v>
      </c>
      <c r="DO21" s="193">
        <v>4</v>
      </c>
      <c r="DP21" s="193">
        <v>11</v>
      </c>
      <c r="DQ21" s="193">
        <v>15</v>
      </c>
      <c r="DR21" s="193">
        <v>26</v>
      </c>
      <c r="DS21" s="193">
        <v>35</v>
      </c>
      <c r="DT21" s="102"/>
      <c r="DU21" s="102"/>
      <c r="DV21" s="102"/>
      <c r="DW21" s="105">
        <v>12</v>
      </c>
      <c r="DX21" s="104">
        <v>6.5</v>
      </c>
      <c r="DY21" s="102">
        <v>48.899999999999984</v>
      </c>
      <c r="DZ21" s="293">
        <v>0.39</v>
      </c>
      <c r="EA21" s="102">
        <v>1.6</v>
      </c>
      <c r="EB21" s="106"/>
      <c r="EC21" s="106"/>
      <c r="ED21" s="106"/>
      <c r="EE21" s="102"/>
    </row>
    <row r="22" spans="1:135" x14ac:dyDescent="0.15">
      <c r="A22" s="549" t="s">
        <v>120</v>
      </c>
      <c r="B22" s="550"/>
      <c r="C22" s="550"/>
      <c r="D22" s="551"/>
      <c r="E22" s="102"/>
      <c r="F22" s="537" t="s">
        <v>226</v>
      </c>
      <c r="G22" s="537"/>
      <c r="H22" s="537"/>
      <c r="I22" s="537"/>
      <c r="J22" s="537"/>
      <c r="K22" s="539">
        <f t="shared" si="3"/>
        <v>0</v>
      </c>
      <c r="L22" s="539"/>
      <c r="M22" s="539"/>
      <c r="N22" s="149" t="s">
        <v>211</v>
      </c>
      <c r="O22" s="545"/>
      <c r="P22" s="545"/>
      <c r="Q22" s="150" t="s">
        <v>212</v>
      </c>
      <c r="R22" s="563">
        <f t="shared" si="0"/>
        <v>0</v>
      </c>
      <c r="S22" s="563"/>
      <c r="T22" s="563"/>
      <c r="U22" s="572"/>
      <c r="V22" s="572"/>
      <c r="W22" s="572"/>
      <c r="X22" s="572"/>
      <c r="Y22" s="572"/>
      <c r="Z22" s="572"/>
      <c r="AA22" s="601" t="s">
        <v>228</v>
      </c>
      <c r="AB22" s="601"/>
      <c r="AC22" s="601"/>
      <c r="AD22" s="601"/>
      <c r="AE22" s="601"/>
      <c r="AF22" s="601"/>
      <c r="AG22" s="590">
        <f>IF(ISERROR(HLOOKUP(AG18,$DO$18:$DS$27,5)),0,HLOOKUP(AG18,$DO$18:$DS$27,5))</f>
        <v>0</v>
      </c>
      <c r="AH22" s="591"/>
      <c r="AI22" s="591"/>
      <c r="AJ22" s="592"/>
      <c r="AK22" s="7"/>
      <c r="AL22" s="549" t="s">
        <v>120</v>
      </c>
      <c r="AM22" s="550"/>
      <c r="AN22" s="550"/>
      <c r="AO22" s="551"/>
      <c r="AP22" s="102"/>
      <c r="AQ22" s="537" t="s">
        <v>34</v>
      </c>
      <c r="AR22" s="537"/>
      <c r="AS22" s="537"/>
      <c r="AT22" s="537"/>
      <c r="AU22" s="537"/>
      <c r="AV22" s="539">
        <f t="shared" si="4"/>
        <v>0</v>
      </c>
      <c r="AW22" s="539"/>
      <c r="AX22" s="539"/>
      <c r="AY22" s="149" t="s">
        <v>33</v>
      </c>
      <c r="AZ22" s="545"/>
      <c r="BA22" s="545"/>
      <c r="BB22" s="150" t="s">
        <v>23</v>
      </c>
      <c r="BC22" s="563">
        <f t="shared" si="1"/>
        <v>0</v>
      </c>
      <c r="BD22" s="563"/>
      <c r="BE22" s="563"/>
      <c r="BF22" s="572"/>
      <c r="BG22" s="572"/>
      <c r="BH22" s="572"/>
      <c r="BI22" s="572"/>
      <c r="BJ22" s="572"/>
      <c r="BK22" s="572"/>
      <c r="BL22" s="601" t="s">
        <v>39</v>
      </c>
      <c r="BM22" s="601"/>
      <c r="BN22" s="601"/>
      <c r="BO22" s="601"/>
      <c r="BP22" s="601"/>
      <c r="BQ22" s="601"/>
      <c r="BR22" s="590">
        <f>IF(ISERROR(HLOOKUP(BR18,$DO$18:$DS$27,5)),0,HLOOKUP(BR18,$DO$18:$DS$27,5))</f>
        <v>0</v>
      </c>
      <c r="BS22" s="591"/>
      <c r="BT22" s="591"/>
      <c r="BU22" s="592"/>
      <c r="BV22" s="7"/>
      <c r="BW22" s="549" t="s">
        <v>120</v>
      </c>
      <c r="BX22" s="550"/>
      <c r="BY22" s="550"/>
      <c r="BZ22" s="551"/>
      <c r="CA22" s="102"/>
      <c r="CB22" s="537" t="s">
        <v>34</v>
      </c>
      <c r="CC22" s="537"/>
      <c r="CD22" s="537"/>
      <c r="CE22" s="537"/>
      <c r="CF22" s="537"/>
      <c r="CG22" s="539">
        <f t="shared" si="5"/>
        <v>0</v>
      </c>
      <c r="CH22" s="539"/>
      <c r="CI22" s="539"/>
      <c r="CJ22" s="149" t="s">
        <v>33</v>
      </c>
      <c r="CK22" s="545"/>
      <c r="CL22" s="545"/>
      <c r="CM22" s="150" t="s">
        <v>23</v>
      </c>
      <c r="CN22" s="563">
        <f t="shared" si="2"/>
        <v>0</v>
      </c>
      <c r="CO22" s="563"/>
      <c r="CP22" s="563"/>
      <c r="CQ22" s="572"/>
      <c r="CR22" s="572"/>
      <c r="CS22" s="572"/>
      <c r="CT22" s="572"/>
      <c r="CU22" s="572"/>
      <c r="CV22" s="572"/>
      <c r="CW22" s="601" t="s">
        <v>39</v>
      </c>
      <c r="CX22" s="601"/>
      <c r="CY22" s="601"/>
      <c r="CZ22" s="601"/>
      <c r="DA22" s="601"/>
      <c r="DB22" s="601"/>
      <c r="DC22" s="590">
        <f>IF(ISERROR(HLOOKUP(DC18,$DO$18:$DS$27,5)),0,HLOOKUP(DC18,$DO$18:$DS$27,5))</f>
        <v>0</v>
      </c>
      <c r="DD22" s="591"/>
      <c r="DE22" s="591"/>
      <c r="DF22" s="592"/>
      <c r="DG22" s="7"/>
      <c r="DH22" s="222"/>
      <c r="DI22" s="222"/>
      <c r="DJ22" s="222"/>
      <c r="DK22" s="222"/>
      <c r="DL22" s="102"/>
      <c r="DM22" s="102"/>
      <c r="DN22" s="134" t="s">
        <v>39</v>
      </c>
      <c r="DO22" s="193">
        <v>0.6</v>
      </c>
      <c r="DP22" s="193">
        <v>1</v>
      </c>
      <c r="DQ22" s="193">
        <v>1.3</v>
      </c>
      <c r="DR22" s="193">
        <v>1.8</v>
      </c>
      <c r="DS22" s="193">
        <v>2.2000000000000002</v>
      </c>
      <c r="DT22" s="102"/>
      <c r="DU22" s="102"/>
      <c r="DV22" s="102"/>
      <c r="DW22" s="105">
        <v>13</v>
      </c>
      <c r="DX22" s="104">
        <v>7</v>
      </c>
      <c r="DY22" s="102">
        <v>48.799999999999983</v>
      </c>
      <c r="DZ22" s="293">
        <v>0.38</v>
      </c>
      <c r="EA22" s="102">
        <v>1.7</v>
      </c>
      <c r="EB22" s="106"/>
      <c r="EC22" s="106"/>
      <c r="ED22" s="106"/>
      <c r="EE22" s="102"/>
    </row>
    <row r="23" spans="1:135" x14ac:dyDescent="0.15">
      <c r="A23" s="546">
        <f>AC4</f>
        <v>0</v>
      </c>
      <c r="B23" s="547"/>
      <c r="C23" s="547"/>
      <c r="D23" s="548"/>
      <c r="E23" s="102"/>
      <c r="F23" s="537" t="s">
        <v>123</v>
      </c>
      <c r="G23" s="537"/>
      <c r="H23" s="537"/>
      <c r="I23" s="537"/>
      <c r="J23" s="537"/>
      <c r="K23" s="539">
        <f t="shared" si="3"/>
        <v>0</v>
      </c>
      <c r="L23" s="539"/>
      <c r="M23" s="539"/>
      <c r="N23" s="149" t="s">
        <v>211</v>
      </c>
      <c r="O23" s="545"/>
      <c r="P23" s="545"/>
      <c r="Q23" s="150" t="s">
        <v>212</v>
      </c>
      <c r="R23" s="563">
        <f t="shared" si="0"/>
        <v>0</v>
      </c>
      <c r="S23" s="563"/>
      <c r="T23" s="563"/>
      <c r="U23" s="572"/>
      <c r="V23" s="572"/>
      <c r="W23" s="572"/>
      <c r="X23" s="572"/>
      <c r="Y23" s="572"/>
      <c r="Z23" s="572"/>
      <c r="AA23" s="601" t="s">
        <v>118</v>
      </c>
      <c r="AB23" s="601"/>
      <c r="AC23" s="601"/>
      <c r="AD23" s="601"/>
      <c r="AE23" s="601"/>
      <c r="AF23" s="601"/>
      <c r="AG23" s="590">
        <f>IF(ISERROR(HLOOKUP(AG18,$DO$18:$DS$27,6)),0,HLOOKUP(AG18,$DO$18:$DS$27,6))</f>
        <v>0</v>
      </c>
      <c r="AH23" s="591"/>
      <c r="AI23" s="591"/>
      <c r="AJ23" s="592"/>
      <c r="AK23" s="7"/>
      <c r="AL23" s="546">
        <f>BN4</f>
        <v>0</v>
      </c>
      <c r="AM23" s="547"/>
      <c r="AN23" s="547"/>
      <c r="AO23" s="548"/>
      <c r="AP23" s="102"/>
      <c r="AQ23" s="537" t="s">
        <v>123</v>
      </c>
      <c r="AR23" s="537"/>
      <c r="AS23" s="537"/>
      <c r="AT23" s="537"/>
      <c r="AU23" s="537"/>
      <c r="AV23" s="539">
        <f t="shared" si="4"/>
        <v>0</v>
      </c>
      <c r="AW23" s="539"/>
      <c r="AX23" s="539"/>
      <c r="AY23" s="149" t="s">
        <v>33</v>
      </c>
      <c r="AZ23" s="545"/>
      <c r="BA23" s="545"/>
      <c r="BB23" s="150" t="s">
        <v>23</v>
      </c>
      <c r="BC23" s="563">
        <f t="shared" si="1"/>
        <v>0</v>
      </c>
      <c r="BD23" s="563"/>
      <c r="BE23" s="563"/>
      <c r="BF23" s="572"/>
      <c r="BG23" s="572"/>
      <c r="BH23" s="572"/>
      <c r="BI23" s="572"/>
      <c r="BJ23" s="572"/>
      <c r="BK23" s="572"/>
      <c r="BL23" s="601" t="s">
        <v>118</v>
      </c>
      <c r="BM23" s="601"/>
      <c r="BN23" s="601"/>
      <c r="BO23" s="601"/>
      <c r="BP23" s="601"/>
      <c r="BQ23" s="601"/>
      <c r="BR23" s="590">
        <f>IF(ISERROR(HLOOKUP(BR18,$DO$18:$DS$27,6)),0,HLOOKUP(BR18,$DO$18:$DS$27,6))</f>
        <v>0</v>
      </c>
      <c r="BS23" s="591"/>
      <c r="BT23" s="591"/>
      <c r="BU23" s="592"/>
      <c r="BV23" s="7"/>
      <c r="BW23" s="546">
        <f>CY4</f>
        <v>0</v>
      </c>
      <c r="BX23" s="547"/>
      <c r="BY23" s="547"/>
      <c r="BZ23" s="548"/>
      <c r="CA23" s="102"/>
      <c r="CB23" s="537" t="s">
        <v>123</v>
      </c>
      <c r="CC23" s="537"/>
      <c r="CD23" s="537"/>
      <c r="CE23" s="537"/>
      <c r="CF23" s="537"/>
      <c r="CG23" s="539">
        <f t="shared" si="5"/>
        <v>0</v>
      </c>
      <c r="CH23" s="539"/>
      <c r="CI23" s="539"/>
      <c r="CJ23" s="149" t="s">
        <v>33</v>
      </c>
      <c r="CK23" s="545"/>
      <c r="CL23" s="545"/>
      <c r="CM23" s="150" t="s">
        <v>23</v>
      </c>
      <c r="CN23" s="563">
        <f t="shared" si="2"/>
        <v>0</v>
      </c>
      <c r="CO23" s="563"/>
      <c r="CP23" s="563"/>
      <c r="CQ23" s="572"/>
      <c r="CR23" s="572"/>
      <c r="CS23" s="572"/>
      <c r="CT23" s="572"/>
      <c r="CU23" s="572"/>
      <c r="CV23" s="572"/>
      <c r="CW23" s="601" t="s">
        <v>118</v>
      </c>
      <c r="CX23" s="601"/>
      <c r="CY23" s="601"/>
      <c r="CZ23" s="601"/>
      <c r="DA23" s="601"/>
      <c r="DB23" s="601"/>
      <c r="DC23" s="590">
        <f>IF(ISERROR(HLOOKUP(DC18,$DO$18:$DS$27,6)),0,HLOOKUP(DC18,$DO$18:$DS$27,6))</f>
        <v>0</v>
      </c>
      <c r="DD23" s="591"/>
      <c r="DE23" s="591"/>
      <c r="DF23" s="592"/>
      <c r="DG23" s="7"/>
      <c r="DH23" s="222"/>
      <c r="DI23" s="222"/>
      <c r="DJ23" s="222"/>
      <c r="DK23" s="222"/>
      <c r="DL23" s="102"/>
      <c r="DM23" s="102"/>
      <c r="DN23" s="134" t="s">
        <v>118</v>
      </c>
      <c r="DO23" s="193">
        <v>0.2</v>
      </c>
      <c r="DP23" s="193">
        <v>0.2</v>
      </c>
      <c r="DQ23" s="193">
        <v>0.3</v>
      </c>
      <c r="DR23" s="193">
        <v>0.5</v>
      </c>
      <c r="DS23" s="193">
        <v>0.6</v>
      </c>
      <c r="DT23" s="102"/>
      <c r="DU23" s="102"/>
      <c r="DV23" s="102"/>
      <c r="DW23" s="105">
        <v>14</v>
      </c>
      <c r="DX23" s="104">
        <v>7.5</v>
      </c>
      <c r="DY23" s="102">
        <v>48.699999999999982</v>
      </c>
      <c r="DZ23" s="293">
        <v>0.37</v>
      </c>
      <c r="EA23" s="102">
        <v>1.8</v>
      </c>
      <c r="EB23" s="106"/>
      <c r="EC23" s="106"/>
      <c r="ED23" s="106"/>
      <c r="EE23" s="102"/>
    </row>
    <row r="24" spans="1:135" x14ac:dyDescent="0.15">
      <c r="A24" s="546"/>
      <c r="B24" s="547"/>
      <c r="C24" s="547"/>
      <c r="D24" s="548"/>
      <c r="E24" s="102"/>
      <c r="F24" s="537" t="s">
        <v>28</v>
      </c>
      <c r="G24" s="537"/>
      <c r="H24" s="537"/>
      <c r="I24" s="537"/>
      <c r="J24" s="537"/>
      <c r="K24" s="539">
        <f t="shared" si="3"/>
        <v>0</v>
      </c>
      <c r="L24" s="539"/>
      <c r="M24" s="539"/>
      <c r="N24" s="149" t="s">
        <v>211</v>
      </c>
      <c r="O24" s="545"/>
      <c r="P24" s="545"/>
      <c r="Q24" s="150" t="s">
        <v>212</v>
      </c>
      <c r="R24" s="563">
        <f t="shared" si="0"/>
        <v>0</v>
      </c>
      <c r="S24" s="563"/>
      <c r="T24" s="563"/>
      <c r="U24" s="572"/>
      <c r="V24" s="572"/>
      <c r="W24" s="572"/>
      <c r="X24" s="572"/>
      <c r="Y24" s="572"/>
      <c r="Z24" s="572"/>
      <c r="AA24" s="601" t="s">
        <v>117</v>
      </c>
      <c r="AB24" s="601"/>
      <c r="AC24" s="601"/>
      <c r="AD24" s="601"/>
      <c r="AE24" s="601"/>
      <c r="AF24" s="601"/>
      <c r="AG24" s="590">
        <f>IF(ISERROR(HLOOKUP(AG18,$DO$18:$DS$27,7)),0,HLOOKUP(AG18,$DO$18:$DS$27,7))</f>
        <v>0</v>
      </c>
      <c r="AH24" s="591"/>
      <c r="AI24" s="591"/>
      <c r="AJ24" s="592"/>
      <c r="AK24" s="7"/>
      <c r="AL24" s="546"/>
      <c r="AM24" s="547"/>
      <c r="AN24" s="547"/>
      <c r="AO24" s="548"/>
      <c r="AP24" s="102"/>
      <c r="AQ24" s="537" t="s">
        <v>28</v>
      </c>
      <c r="AR24" s="537"/>
      <c r="AS24" s="537"/>
      <c r="AT24" s="537"/>
      <c r="AU24" s="537"/>
      <c r="AV24" s="539">
        <f t="shared" si="4"/>
        <v>0</v>
      </c>
      <c r="AW24" s="539"/>
      <c r="AX24" s="539"/>
      <c r="AY24" s="149" t="s">
        <v>33</v>
      </c>
      <c r="AZ24" s="545"/>
      <c r="BA24" s="545"/>
      <c r="BB24" s="150" t="s">
        <v>23</v>
      </c>
      <c r="BC24" s="563">
        <f t="shared" si="1"/>
        <v>0</v>
      </c>
      <c r="BD24" s="563"/>
      <c r="BE24" s="563"/>
      <c r="BF24" s="572"/>
      <c r="BG24" s="572"/>
      <c r="BH24" s="572"/>
      <c r="BI24" s="572"/>
      <c r="BJ24" s="572"/>
      <c r="BK24" s="572"/>
      <c r="BL24" s="601" t="s">
        <v>117</v>
      </c>
      <c r="BM24" s="601"/>
      <c r="BN24" s="601"/>
      <c r="BO24" s="601"/>
      <c r="BP24" s="601"/>
      <c r="BQ24" s="601"/>
      <c r="BR24" s="590">
        <f>IF(ISERROR(HLOOKUP(BR18,$DO$18:$DS$27,7)),0,HLOOKUP(BR18,$DO$18:$DS$27,7))</f>
        <v>0</v>
      </c>
      <c r="BS24" s="591"/>
      <c r="BT24" s="591"/>
      <c r="BU24" s="592"/>
      <c r="BV24" s="7"/>
      <c r="BW24" s="546"/>
      <c r="BX24" s="547"/>
      <c r="BY24" s="547"/>
      <c r="BZ24" s="548"/>
      <c r="CA24" s="102"/>
      <c r="CB24" s="537" t="s">
        <v>28</v>
      </c>
      <c r="CC24" s="537"/>
      <c r="CD24" s="537"/>
      <c r="CE24" s="537"/>
      <c r="CF24" s="537"/>
      <c r="CG24" s="539">
        <f t="shared" si="5"/>
        <v>0</v>
      </c>
      <c r="CH24" s="539"/>
      <c r="CI24" s="539"/>
      <c r="CJ24" s="149" t="s">
        <v>33</v>
      </c>
      <c r="CK24" s="545"/>
      <c r="CL24" s="545"/>
      <c r="CM24" s="150" t="s">
        <v>23</v>
      </c>
      <c r="CN24" s="563">
        <f t="shared" si="2"/>
        <v>0</v>
      </c>
      <c r="CO24" s="563"/>
      <c r="CP24" s="563"/>
      <c r="CQ24" s="572"/>
      <c r="CR24" s="572"/>
      <c r="CS24" s="572"/>
      <c r="CT24" s="572"/>
      <c r="CU24" s="572"/>
      <c r="CV24" s="572"/>
      <c r="CW24" s="601" t="s">
        <v>117</v>
      </c>
      <c r="CX24" s="601"/>
      <c r="CY24" s="601"/>
      <c r="CZ24" s="601"/>
      <c r="DA24" s="601"/>
      <c r="DB24" s="601"/>
      <c r="DC24" s="590">
        <f>IF(ISERROR(HLOOKUP(DC18,$DO$18:$DS$27,7)),0,HLOOKUP(DC18,$DO$18:$DS$27,7))</f>
        <v>0</v>
      </c>
      <c r="DD24" s="591"/>
      <c r="DE24" s="591"/>
      <c r="DF24" s="592"/>
      <c r="DG24" s="7"/>
      <c r="DH24" s="222"/>
      <c r="DI24" s="222"/>
      <c r="DJ24" s="222"/>
      <c r="DK24" s="222"/>
      <c r="DL24" s="102"/>
      <c r="DM24" s="102"/>
      <c r="DN24" s="134" t="s">
        <v>117</v>
      </c>
      <c r="DO24" s="193">
        <v>0.9</v>
      </c>
      <c r="DP24" s="193">
        <v>1.3</v>
      </c>
      <c r="DQ24" s="193">
        <v>1.5</v>
      </c>
      <c r="DR24" s="193">
        <v>2.1</v>
      </c>
      <c r="DS24" s="193">
        <v>3</v>
      </c>
      <c r="DT24" s="102"/>
      <c r="DU24" s="102"/>
      <c r="DV24" s="102"/>
      <c r="DW24" s="105">
        <v>15</v>
      </c>
      <c r="DX24" s="104">
        <v>8</v>
      </c>
      <c r="DY24" s="102">
        <v>48.59999999999998</v>
      </c>
      <c r="DZ24" s="293">
        <v>0.36</v>
      </c>
      <c r="EA24" s="102">
        <v>1.9</v>
      </c>
      <c r="EB24" s="106"/>
      <c r="EC24" s="106"/>
      <c r="ED24" s="106"/>
      <c r="EE24" s="102"/>
    </row>
    <row r="25" spans="1:135" x14ac:dyDescent="0.15">
      <c r="A25" s="24"/>
      <c r="B25" s="222"/>
      <c r="C25" s="222"/>
      <c r="D25" s="17"/>
      <c r="E25" s="102"/>
      <c r="F25" s="538" t="s">
        <v>41</v>
      </c>
      <c r="G25" s="538"/>
      <c r="H25" s="538"/>
      <c r="I25" s="538"/>
      <c r="J25" s="538"/>
      <c r="K25" s="539">
        <f t="shared" si="3"/>
        <v>0</v>
      </c>
      <c r="L25" s="539"/>
      <c r="M25" s="539"/>
      <c r="N25" s="149" t="s">
        <v>33</v>
      </c>
      <c r="O25" s="545"/>
      <c r="P25" s="545"/>
      <c r="Q25" s="150" t="s">
        <v>212</v>
      </c>
      <c r="R25" s="563">
        <f t="shared" si="0"/>
        <v>0</v>
      </c>
      <c r="S25" s="563"/>
      <c r="T25" s="563"/>
      <c r="U25" s="572"/>
      <c r="V25" s="572"/>
      <c r="W25" s="572"/>
      <c r="X25" s="572"/>
      <c r="Y25" s="572"/>
      <c r="Z25" s="572"/>
      <c r="AA25" s="565" t="s">
        <v>229</v>
      </c>
      <c r="AB25" s="565"/>
      <c r="AC25" s="565"/>
      <c r="AD25" s="565"/>
      <c r="AE25" s="565"/>
      <c r="AF25" s="565"/>
      <c r="AG25" s="590">
        <f>IF(ISERROR(HLOOKUP(AG18,$DO$18:$DS$27,8)),0,HLOOKUP(AG18,$DO$18:$DS$27,8))</f>
        <v>0</v>
      </c>
      <c r="AH25" s="591"/>
      <c r="AI25" s="591"/>
      <c r="AJ25" s="592"/>
      <c r="AK25" s="7"/>
      <c r="AL25" s="24"/>
      <c r="AM25" s="222"/>
      <c r="AN25" s="222"/>
      <c r="AO25" s="17"/>
      <c r="AP25" s="102"/>
      <c r="AQ25" s="538" t="s">
        <v>41</v>
      </c>
      <c r="AR25" s="538"/>
      <c r="AS25" s="538"/>
      <c r="AT25" s="538"/>
      <c r="AU25" s="538"/>
      <c r="AV25" s="539">
        <f t="shared" si="4"/>
        <v>0</v>
      </c>
      <c r="AW25" s="539"/>
      <c r="AX25" s="539"/>
      <c r="AY25" s="149" t="s">
        <v>33</v>
      </c>
      <c r="AZ25" s="545"/>
      <c r="BA25" s="545"/>
      <c r="BB25" s="150" t="s">
        <v>23</v>
      </c>
      <c r="BC25" s="563">
        <f t="shared" si="1"/>
        <v>0</v>
      </c>
      <c r="BD25" s="563"/>
      <c r="BE25" s="563"/>
      <c r="BF25" s="572"/>
      <c r="BG25" s="572"/>
      <c r="BH25" s="572"/>
      <c r="BI25" s="572"/>
      <c r="BJ25" s="572"/>
      <c r="BK25" s="572"/>
      <c r="BL25" s="565" t="s">
        <v>229</v>
      </c>
      <c r="BM25" s="565"/>
      <c r="BN25" s="565"/>
      <c r="BO25" s="565"/>
      <c r="BP25" s="565"/>
      <c r="BQ25" s="565"/>
      <c r="BR25" s="590">
        <f>IF(ISERROR(HLOOKUP(BR18,$DO$18:$DS$27,8)),0,HLOOKUP(BR18,$DO$18:$DS$27,8))</f>
        <v>0</v>
      </c>
      <c r="BS25" s="591"/>
      <c r="BT25" s="591"/>
      <c r="BU25" s="592"/>
      <c r="BV25" s="7"/>
      <c r="BW25" s="24"/>
      <c r="BX25" s="222"/>
      <c r="BY25" s="222"/>
      <c r="BZ25" s="17"/>
      <c r="CA25" s="102"/>
      <c r="CB25" s="538" t="s">
        <v>41</v>
      </c>
      <c r="CC25" s="538"/>
      <c r="CD25" s="538"/>
      <c r="CE25" s="538"/>
      <c r="CF25" s="538"/>
      <c r="CG25" s="539">
        <f t="shared" si="5"/>
        <v>0</v>
      </c>
      <c r="CH25" s="539"/>
      <c r="CI25" s="539"/>
      <c r="CJ25" s="149" t="s">
        <v>33</v>
      </c>
      <c r="CK25" s="545"/>
      <c r="CL25" s="545"/>
      <c r="CM25" s="150" t="s">
        <v>23</v>
      </c>
      <c r="CN25" s="563">
        <f t="shared" si="2"/>
        <v>0</v>
      </c>
      <c r="CO25" s="563"/>
      <c r="CP25" s="563"/>
      <c r="CQ25" s="572"/>
      <c r="CR25" s="572"/>
      <c r="CS25" s="572"/>
      <c r="CT25" s="572"/>
      <c r="CU25" s="572"/>
      <c r="CV25" s="572"/>
      <c r="CW25" s="565" t="s">
        <v>229</v>
      </c>
      <c r="CX25" s="565"/>
      <c r="CY25" s="565"/>
      <c r="CZ25" s="565"/>
      <c r="DA25" s="565"/>
      <c r="DB25" s="565"/>
      <c r="DC25" s="590">
        <f>IF(ISERROR(HLOOKUP(DC18,$DO$18:$DS$27,8)),0,HLOOKUP(DC18,$DO$18:$DS$27,8))</f>
        <v>0</v>
      </c>
      <c r="DD25" s="591"/>
      <c r="DE25" s="591"/>
      <c r="DF25" s="592"/>
      <c r="DG25" s="7"/>
      <c r="DH25" s="222"/>
      <c r="DI25" s="222"/>
      <c r="DJ25" s="222"/>
      <c r="DK25" s="222"/>
      <c r="DL25" s="102"/>
      <c r="DM25" s="102"/>
      <c r="DN25" s="133" t="s">
        <v>181</v>
      </c>
      <c r="DO25" s="193">
        <v>0.1</v>
      </c>
      <c r="DP25" s="193">
        <v>0.2</v>
      </c>
      <c r="DQ25" s="193">
        <v>0.3</v>
      </c>
      <c r="DR25" s="193">
        <v>0.4</v>
      </c>
      <c r="DS25" s="193">
        <v>0.5</v>
      </c>
      <c r="DT25" s="102"/>
      <c r="DU25" s="102"/>
      <c r="DV25" s="102"/>
      <c r="DW25" s="105">
        <v>16</v>
      </c>
      <c r="DX25" s="104">
        <v>8.5</v>
      </c>
      <c r="DY25" s="102">
        <v>48.499999999999979</v>
      </c>
      <c r="DZ25" s="293">
        <v>0.35</v>
      </c>
      <c r="EA25" s="102">
        <v>2</v>
      </c>
      <c r="EB25" s="106"/>
      <c r="EC25" s="106"/>
      <c r="ED25" s="106"/>
      <c r="EE25" s="102"/>
    </row>
    <row r="26" spans="1:135" x14ac:dyDescent="0.15">
      <c r="A26" s="24"/>
      <c r="B26" s="222"/>
      <c r="C26" s="222"/>
      <c r="D26" s="17"/>
      <c r="E26" s="102"/>
      <c r="F26" s="538" t="s">
        <v>116</v>
      </c>
      <c r="G26" s="538"/>
      <c r="H26" s="538"/>
      <c r="I26" s="538"/>
      <c r="J26" s="538"/>
      <c r="K26" s="539">
        <f t="shared" si="3"/>
        <v>0</v>
      </c>
      <c r="L26" s="539"/>
      <c r="M26" s="539"/>
      <c r="N26" s="149" t="s">
        <v>33</v>
      </c>
      <c r="O26" s="545"/>
      <c r="P26" s="545"/>
      <c r="Q26" s="150" t="s">
        <v>212</v>
      </c>
      <c r="R26" s="563">
        <f t="shared" si="0"/>
        <v>0</v>
      </c>
      <c r="S26" s="563"/>
      <c r="T26" s="563"/>
      <c r="U26" s="572"/>
      <c r="V26" s="572"/>
      <c r="W26" s="572"/>
      <c r="X26" s="572"/>
      <c r="Y26" s="572"/>
      <c r="Z26" s="572"/>
      <c r="AA26" s="565" t="s">
        <v>221</v>
      </c>
      <c r="AB26" s="565"/>
      <c r="AC26" s="565"/>
      <c r="AD26" s="565"/>
      <c r="AE26" s="565"/>
      <c r="AF26" s="565"/>
      <c r="AG26" s="590">
        <f>IF(ISERROR(HLOOKUP(AG18,$DO$18:$DS$27,9)),0,HLOOKUP(AG18,$DO$18:$DS$27,9))</f>
        <v>0</v>
      </c>
      <c r="AH26" s="591"/>
      <c r="AI26" s="591"/>
      <c r="AJ26" s="592"/>
      <c r="AK26" s="7"/>
      <c r="AL26" s="24"/>
      <c r="AM26" s="222"/>
      <c r="AN26" s="222"/>
      <c r="AO26" s="17"/>
      <c r="AP26" s="102"/>
      <c r="AQ26" s="538" t="s">
        <v>116</v>
      </c>
      <c r="AR26" s="538"/>
      <c r="AS26" s="538"/>
      <c r="AT26" s="538"/>
      <c r="AU26" s="538"/>
      <c r="AV26" s="539">
        <f t="shared" si="4"/>
        <v>0</v>
      </c>
      <c r="AW26" s="539"/>
      <c r="AX26" s="539"/>
      <c r="AY26" s="149" t="s">
        <v>33</v>
      </c>
      <c r="AZ26" s="545"/>
      <c r="BA26" s="545"/>
      <c r="BB26" s="150" t="s">
        <v>23</v>
      </c>
      <c r="BC26" s="563">
        <f t="shared" si="1"/>
        <v>0</v>
      </c>
      <c r="BD26" s="563"/>
      <c r="BE26" s="563"/>
      <c r="BF26" s="572"/>
      <c r="BG26" s="572"/>
      <c r="BH26" s="572"/>
      <c r="BI26" s="572"/>
      <c r="BJ26" s="572"/>
      <c r="BK26" s="572"/>
      <c r="BL26" s="565" t="s">
        <v>172</v>
      </c>
      <c r="BM26" s="565"/>
      <c r="BN26" s="565"/>
      <c r="BO26" s="565"/>
      <c r="BP26" s="565"/>
      <c r="BQ26" s="565"/>
      <c r="BR26" s="590">
        <f>IF(ISERROR(HLOOKUP(BR18,$DO$18:$DS$27,9)),0,HLOOKUP(BR18,$DO$18:$DS$27,9))</f>
        <v>0</v>
      </c>
      <c r="BS26" s="591"/>
      <c r="BT26" s="591"/>
      <c r="BU26" s="592"/>
      <c r="BV26" s="7"/>
      <c r="BW26" s="24"/>
      <c r="BX26" s="222"/>
      <c r="BY26" s="222"/>
      <c r="BZ26" s="17"/>
      <c r="CA26" s="102"/>
      <c r="CB26" s="538" t="s">
        <v>116</v>
      </c>
      <c r="CC26" s="538"/>
      <c r="CD26" s="538"/>
      <c r="CE26" s="538"/>
      <c r="CF26" s="538"/>
      <c r="CG26" s="539">
        <f t="shared" si="5"/>
        <v>0</v>
      </c>
      <c r="CH26" s="539"/>
      <c r="CI26" s="539"/>
      <c r="CJ26" s="149" t="s">
        <v>33</v>
      </c>
      <c r="CK26" s="545"/>
      <c r="CL26" s="545"/>
      <c r="CM26" s="150" t="s">
        <v>23</v>
      </c>
      <c r="CN26" s="563">
        <f t="shared" si="2"/>
        <v>0</v>
      </c>
      <c r="CO26" s="563"/>
      <c r="CP26" s="563"/>
      <c r="CQ26" s="572"/>
      <c r="CR26" s="572"/>
      <c r="CS26" s="572"/>
      <c r="CT26" s="572"/>
      <c r="CU26" s="572"/>
      <c r="CV26" s="572"/>
      <c r="CW26" s="565" t="s">
        <v>172</v>
      </c>
      <c r="CX26" s="565"/>
      <c r="CY26" s="565"/>
      <c r="CZ26" s="565"/>
      <c r="DA26" s="565"/>
      <c r="DB26" s="565"/>
      <c r="DC26" s="590">
        <f>IF(ISERROR(HLOOKUP(DC18,$DO$18:$DS$27,9)),0,HLOOKUP(DC18,$DO$18:$DS$27,9))</f>
        <v>0</v>
      </c>
      <c r="DD26" s="591"/>
      <c r="DE26" s="591"/>
      <c r="DF26" s="592"/>
      <c r="DG26" s="7"/>
      <c r="DH26" s="222"/>
      <c r="DI26" s="222"/>
      <c r="DJ26" s="222"/>
      <c r="DK26" s="222"/>
      <c r="DL26" s="102"/>
      <c r="DM26" s="102"/>
      <c r="DN26" s="133" t="s">
        <v>172</v>
      </c>
      <c r="DO26" s="193">
        <v>3</v>
      </c>
      <c r="DP26" s="193">
        <v>3.7</v>
      </c>
      <c r="DQ26" s="193">
        <v>4.5999999999999996</v>
      </c>
      <c r="DR26" s="193">
        <v>6</v>
      </c>
      <c r="DS26" s="193">
        <v>7</v>
      </c>
      <c r="DT26" s="102"/>
      <c r="DU26" s="102"/>
      <c r="DV26" s="102"/>
      <c r="DW26" s="105">
        <v>17</v>
      </c>
      <c r="DX26" s="104">
        <v>9</v>
      </c>
      <c r="DY26" s="102">
        <v>48.399999999999977</v>
      </c>
      <c r="DZ26" s="293">
        <v>0.34</v>
      </c>
      <c r="EA26" s="102">
        <v>2.1</v>
      </c>
      <c r="EB26" s="106"/>
      <c r="EC26" s="106"/>
      <c r="ED26" s="106"/>
      <c r="EE26" s="102"/>
    </row>
    <row r="27" spans="1:135" x14ac:dyDescent="0.15">
      <c r="A27" s="24"/>
      <c r="B27" s="222"/>
      <c r="C27" s="222"/>
      <c r="D27" s="17"/>
      <c r="E27" s="102"/>
      <c r="F27" s="538" t="s">
        <v>44</v>
      </c>
      <c r="G27" s="538"/>
      <c r="H27" s="538"/>
      <c r="I27" s="538"/>
      <c r="J27" s="538"/>
      <c r="K27" s="539">
        <f t="shared" si="3"/>
        <v>0</v>
      </c>
      <c r="L27" s="539"/>
      <c r="M27" s="539"/>
      <c r="N27" s="149" t="s">
        <v>33</v>
      </c>
      <c r="O27" s="545"/>
      <c r="P27" s="545"/>
      <c r="Q27" s="150" t="s">
        <v>212</v>
      </c>
      <c r="R27" s="563">
        <f t="shared" si="0"/>
        <v>0</v>
      </c>
      <c r="S27" s="563"/>
      <c r="T27" s="563"/>
      <c r="U27" s="572"/>
      <c r="V27" s="572"/>
      <c r="W27" s="572"/>
      <c r="X27" s="572"/>
      <c r="Y27" s="572"/>
      <c r="Z27" s="572"/>
      <c r="AA27" s="565" t="s">
        <v>230</v>
      </c>
      <c r="AB27" s="565"/>
      <c r="AC27" s="565"/>
      <c r="AD27" s="565"/>
      <c r="AE27" s="565"/>
      <c r="AF27" s="565"/>
      <c r="AG27" s="590">
        <f>IF(ISERROR(HLOOKUP(AG18,$DO$18:$DS$27,10)),0,HLOOKUP(AG18,$DO$18:$DS$27,10))</f>
        <v>0</v>
      </c>
      <c r="AH27" s="591"/>
      <c r="AI27" s="591"/>
      <c r="AJ27" s="592"/>
      <c r="AK27" s="7"/>
      <c r="AL27" s="24"/>
      <c r="AM27" s="222"/>
      <c r="AN27" s="222"/>
      <c r="AO27" s="17"/>
      <c r="AP27" s="102"/>
      <c r="AQ27" s="538" t="s">
        <v>44</v>
      </c>
      <c r="AR27" s="538"/>
      <c r="AS27" s="538"/>
      <c r="AT27" s="538"/>
      <c r="AU27" s="538"/>
      <c r="AV27" s="539">
        <f t="shared" si="4"/>
        <v>0</v>
      </c>
      <c r="AW27" s="539"/>
      <c r="AX27" s="539"/>
      <c r="AY27" s="149" t="s">
        <v>33</v>
      </c>
      <c r="AZ27" s="545"/>
      <c r="BA27" s="545"/>
      <c r="BB27" s="150" t="s">
        <v>23</v>
      </c>
      <c r="BC27" s="563">
        <f t="shared" si="1"/>
        <v>0</v>
      </c>
      <c r="BD27" s="563"/>
      <c r="BE27" s="563"/>
      <c r="BF27" s="572"/>
      <c r="BG27" s="572"/>
      <c r="BH27" s="572"/>
      <c r="BI27" s="572"/>
      <c r="BJ27" s="572"/>
      <c r="BK27" s="572"/>
      <c r="BL27" s="565" t="s">
        <v>230</v>
      </c>
      <c r="BM27" s="565"/>
      <c r="BN27" s="565"/>
      <c r="BO27" s="565"/>
      <c r="BP27" s="565"/>
      <c r="BQ27" s="565"/>
      <c r="BR27" s="590">
        <f>IF(ISERROR(HLOOKUP(BR18,$DO$18:$DS$27,10)),0,HLOOKUP(BR18,$DO$18:$DS$27,10))</f>
        <v>0</v>
      </c>
      <c r="BS27" s="591"/>
      <c r="BT27" s="591"/>
      <c r="BU27" s="592"/>
      <c r="BV27" s="7"/>
      <c r="BW27" s="24"/>
      <c r="BX27" s="222"/>
      <c r="BY27" s="222"/>
      <c r="BZ27" s="17"/>
      <c r="CA27" s="102"/>
      <c r="CB27" s="538" t="s">
        <v>44</v>
      </c>
      <c r="CC27" s="538"/>
      <c r="CD27" s="538"/>
      <c r="CE27" s="538"/>
      <c r="CF27" s="538"/>
      <c r="CG27" s="539">
        <f t="shared" si="5"/>
        <v>0</v>
      </c>
      <c r="CH27" s="539"/>
      <c r="CI27" s="539"/>
      <c r="CJ27" s="149" t="s">
        <v>33</v>
      </c>
      <c r="CK27" s="545"/>
      <c r="CL27" s="545"/>
      <c r="CM27" s="150" t="s">
        <v>23</v>
      </c>
      <c r="CN27" s="563">
        <f t="shared" si="2"/>
        <v>0</v>
      </c>
      <c r="CO27" s="563"/>
      <c r="CP27" s="563"/>
      <c r="CQ27" s="572"/>
      <c r="CR27" s="572"/>
      <c r="CS27" s="572"/>
      <c r="CT27" s="572"/>
      <c r="CU27" s="572"/>
      <c r="CV27" s="572"/>
      <c r="CW27" s="565" t="s">
        <v>230</v>
      </c>
      <c r="CX27" s="565"/>
      <c r="CY27" s="565"/>
      <c r="CZ27" s="565"/>
      <c r="DA27" s="565"/>
      <c r="DB27" s="565"/>
      <c r="DC27" s="590">
        <f>IF(ISERROR(HLOOKUP(DC18,$DO$18:$DS$27,10)),0,HLOOKUP(DC18,$DO$18:$DS$27,10))</f>
        <v>0</v>
      </c>
      <c r="DD27" s="591"/>
      <c r="DE27" s="591"/>
      <c r="DF27" s="592"/>
      <c r="DG27" s="7"/>
      <c r="DH27" s="222"/>
      <c r="DI27" s="222"/>
      <c r="DJ27" s="222"/>
      <c r="DK27" s="222"/>
      <c r="DL27" s="102"/>
      <c r="DM27" s="102"/>
      <c r="DN27" s="133" t="s">
        <v>182</v>
      </c>
      <c r="DO27" s="193">
        <v>1</v>
      </c>
      <c r="DP27" s="193">
        <v>1</v>
      </c>
      <c r="DQ27" s="193">
        <v>1</v>
      </c>
      <c r="DR27" s="193">
        <v>1</v>
      </c>
      <c r="DS27" s="193">
        <v>1</v>
      </c>
      <c r="DT27" s="102"/>
      <c r="DU27" s="102"/>
      <c r="DV27" s="102"/>
      <c r="DW27" s="105">
        <v>18</v>
      </c>
      <c r="DX27" s="104">
        <v>9.5</v>
      </c>
      <c r="DY27" s="102">
        <v>48.299999999999976</v>
      </c>
      <c r="DZ27" s="293">
        <v>0.33</v>
      </c>
      <c r="EA27" s="102">
        <v>2.2000000000000002</v>
      </c>
      <c r="EB27" s="106"/>
      <c r="EC27" s="106"/>
      <c r="ED27" s="106"/>
      <c r="EE27" s="102"/>
    </row>
    <row r="28" spans="1:135" x14ac:dyDescent="0.15">
      <c r="A28" s="24"/>
      <c r="B28" s="222"/>
      <c r="C28" s="222"/>
      <c r="D28" s="17"/>
      <c r="E28" s="102"/>
      <c r="F28" s="537" t="s">
        <v>227</v>
      </c>
      <c r="G28" s="537"/>
      <c r="H28" s="537"/>
      <c r="I28" s="537"/>
      <c r="J28" s="537"/>
      <c r="K28" s="152"/>
      <c r="L28" s="152"/>
      <c r="M28" s="151"/>
      <c r="N28" s="151"/>
      <c r="O28" s="151"/>
      <c r="P28" s="151"/>
      <c r="Q28" s="150" t="s">
        <v>212</v>
      </c>
      <c r="R28" s="564"/>
      <c r="S28" s="564"/>
      <c r="T28" s="564"/>
      <c r="U28" s="572"/>
      <c r="V28" s="572"/>
      <c r="W28" s="572"/>
      <c r="X28" s="572"/>
      <c r="Y28" s="572"/>
      <c r="Z28" s="57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7"/>
      <c r="AL28" s="24"/>
      <c r="AM28" s="222"/>
      <c r="AN28" s="222"/>
      <c r="AO28" s="17"/>
      <c r="AP28" s="102"/>
      <c r="AQ28" s="537" t="s">
        <v>227</v>
      </c>
      <c r="AR28" s="537"/>
      <c r="AS28" s="537"/>
      <c r="AT28" s="537"/>
      <c r="AU28" s="537"/>
      <c r="AV28" s="152"/>
      <c r="AW28" s="152"/>
      <c r="AX28" s="151"/>
      <c r="AY28" s="151"/>
      <c r="AZ28" s="151"/>
      <c r="BA28" s="151"/>
      <c r="BB28" s="150" t="s">
        <v>23</v>
      </c>
      <c r="BC28" s="564"/>
      <c r="BD28" s="564"/>
      <c r="BE28" s="564"/>
      <c r="BF28" s="572"/>
      <c r="BG28" s="572"/>
      <c r="BH28" s="572"/>
      <c r="BI28" s="572"/>
      <c r="BJ28" s="572"/>
      <c r="BK28" s="57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7"/>
      <c r="BW28" s="24"/>
      <c r="BX28" s="222"/>
      <c r="BY28" s="222"/>
      <c r="BZ28" s="17"/>
      <c r="CA28" s="102"/>
      <c r="CB28" s="537" t="s">
        <v>227</v>
      </c>
      <c r="CC28" s="537"/>
      <c r="CD28" s="537"/>
      <c r="CE28" s="537"/>
      <c r="CF28" s="537"/>
      <c r="CG28" s="152"/>
      <c r="CH28" s="152"/>
      <c r="CI28" s="151"/>
      <c r="CJ28" s="151"/>
      <c r="CK28" s="151"/>
      <c r="CL28" s="151"/>
      <c r="CM28" s="150" t="s">
        <v>23</v>
      </c>
      <c r="CN28" s="564"/>
      <c r="CO28" s="564"/>
      <c r="CP28" s="564"/>
      <c r="CQ28" s="572"/>
      <c r="CR28" s="572"/>
      <c r="CS28" s="572"/>
      <c r="CT28" s="572"/>
      <c r="CU28" s="572"/>
      <c r="CV28" s="57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7"/>
      <c r="DH28" s="222"/>
      <c r="DI28" s="222"/>
      <c r="DJ28" s="222"/>
      <c r="DK28" s="222"/>
      <c r="DL28" s="102"/>
      <c r="DM28" s="102"/>
      <c r="DN28" s="125" t="s">
        <v>128</v>
      </c>
      <c r="DO28" s="126">
        <v>1.327E-4</v>
      </c>
      <c r="DP28" s="126">
        <v>3.1399999999999999E-4</v>
      </c>
      <c r="DQ28" s="126">
        <v>4.8999999999999998E-4</v>
      </c>
      <c r="DR28" s="127">
        <v>1.2600000000000001E-3</v>
      </c>
      <c r="DS28" s="127">
        <v>1.9599999999999999E-3</v>
      </c>
      <c r="DT28" s="102"/>
      <c r="DU28" s="102"/>
      <c r="DV28" s="102"/>
      <c r="DW28" s="105">
        <v>19</v>
      </c>
      <c r="DX28" s="104">
        <v>10</v>
      </c>
      <c r="DY28" s="102">
        <v>48.199999999999974</v>
      </c>
      <c r="DZ28" s="293">
        <v>0.32</v>
      </c>
      <c r="EA28" s="102">
        <v>2.2999999999999998</v>
      </c>
      <c r="EB28" s="106"/>
      <c r="EC28" s="106"/>
      <c r="ED28" s="106"/>
      <c r="EE28" s="102"/>
    </row>
    <row r="29" spans="1:135" ht="22.5" customHeight="1" x14ac:dyDescent="0.15">
      <c r="A29" s="24"/>
      <c r="B29" s="222"/>
      <c r="C29" s="222"/>
      <c r="D29" s="17"/>
      <c r="E29" s="332" t="s">
        <v>122</v>
      </c>
      <c r="F29" s="333"/>
      <c r="G29" s="333"/>
      <c r="H29" s="333"/>
      <c r="I29" s="333"/>
      <c r="J29" s="333"/>
      <c r="K29" s="333"/>
      <c r="L29" s="8"/>
      <c r="M29" s="138"/>
      <c r="N29" s="138"/>
      <c r="O29" s="138"/>
      <c r="P29" s="138"/>
      <c r="Q29" s="593">
        <f>ROUND(SUM(R19:R28),1)</f>
        <v>0</v>
      </c>
      <c r="R29" s="593"/>
      <c r="S29" s="593"/>
      <c r="T29" s="593"/>
      <c r="U29" s="8" t="s">
        <v>32</v>
      </c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6"/>
      <c r="AL29" s="24"/>
      <c r="AM29" s="222"/>
      <c r="AN29" s="222"/>
      <c r="AO29" s="17"/>
      <c r="AP29" s="332" t="s">
        <v>122</v>
      </c>
      <c r="AQ29" s="333"/>
      <c r="AR29" s="333"/>
      <c r="AS29" s="333"/>
      <c r="AT29" s="333"/>
      <c r="AU29" s="333"/>
      <c r="AV29" s="333"/>
      <c r="AW29" s="8"/>
      <c r="AX29" s="138"/>
      <c r="AY29" s="138"/>
      <c r="AZ29" s="138"/>
      <c r="BA29" s="138"/>
      <c r="BB29" s="593">
        <f>ROUND(SUM(BC19:BC28),1)</f>
        <v>0</v>
      </c>
      <c r="BC29" s="593"/>
      <c r="BD29" s="593"/>
      <c r="BE29" s="593"/>
      <c r="BF29" s="8" t="s">
        <v>32</v>
      </c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6"/>
      <c r="BW29" s="24"/>
      <c r="BX29" s="222"/>
      <c r="BY29" s="222"/>
      <c r="BZ29" s="17"/>
      <c r="CA29" s="332" t="s">
        <v>122</v>
      </c>
      <c r="CB29" s="333"/>
      <c r="CC29" s="333"/>
      <c r="CD29" s="333"/>
      <c r="CE29" s="333"/>
      <c r="CF29" s="333"/>
      <c r="CG29" s="333"/>
      <c r="CH29" s="8"/>
      <c r="CI29" s="138"/>
      <c r="CJ29" s="138"/>
      <c r="CK29" s="138"/>
      <c r="CL29" s="138"/>
      <c r="CM29" s="593">
        <f>ROUND(SUM(CN19:CN28),1)</f>
        <v>0</v>
      </c>
      <c r="CN29" s="593"/>
      <c r="CO29" s="593"/>
      <c r="CP29" s="593"/>
      <c r="CQ29" s="8" t="s">
        <v>32</v>
      </c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6"/>
      <c r="DH29" s="222"/>
      <c r="DI29" s="222"/>
      <c r="DJ29" s="222"/>
      <c r="DK29" s="222"/>
      <c r="DL29" s="102"/>
      <c r="DM29" s="102"/>
      <c r="DN29" s="102"/>
      <c r="DO29" s="356"/>
      <c r="DP29" s="356"/>
      <c r="DQ29" s="356"/>
      <c r="DR29" s="102"/>
      <c r="DS29" s="102"/>
      <c r="DT29" s="102"/>
      <c r="DU29" s="102"/>
      <c r="DV29" s="102"/>
      <c r="DW29" s="105">
        <v>20</v>
      </c>
      <c r="DX29" s="104">
        <v>10.5</v>
      </c>
      <c r="DY29" s="102">
        <v>48.099999999999973</v>
      </c>
      <c r="DZ29" s="293">
        <v>0.31</v>
      </c>
      <c r="EA29" s="102">
        <v>2.4</v>
      </c>
      <c r="EB29" s="106"/>
      <c r="EC29" s="106"/>
      <c r="ED29" s="106"/>
      <c r="EE29" s="102"/>
    </row>
    <row r="30" spans="1:135" x14ac:dyDescent="0.15">
      <c r="A30" s="145"/>
      <c r="B30" s="146"/>
      <c r="C30" s="146"/>
      <c r="D30" s="147"/>
      <c r="E30" s="222" t="s">
        <v>115</v>
      </c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117" t="s">
        <v>50</v>
      </c>
      <c r="Y30" s="356" t="s">
        <v>23</v>
      </c>
      <c r="Z30" s="368">
        <f>AE15</f>
        <v>0</v>
      </c>
      <c r="AA30" s="368"/>
      <c r="AB30" s="368"/>
      <c r="AC30" s="368"/>
      <c r="AD30" s="106"/>
      <c r="AE30" s="106"/>
      <c r="AF30" s="554" t="s">
        <v>23</v>
      </c>
      <c r="AG30" s="596" t="e">
        <f>ROUND(Z30/Z31,0)</f>
        <v>#DIV/0!</v>
      </c>
      <c r="AH30" s="596"/>
      <c r="AI30" s="596"/>
      <c r="AJ30" s="596"/>
      <c r="AK30" s="597"/>
      <c r="AL30" s="145"/>
      <c r="AM30" s="146"/>
      <c r="AN30" s="146"/>
      <c r="AO30" s="147"/>
      <c r="AP30" s="222" t="s">
        <v>115</v>
      </c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117" t="s">
        <v>50</v>
      </c>
      <c r="BJ30" s="356" t="s">
        <v>23</v>
      </c>
      <c r="BK30" s="368">
        <f>BP15</f>
        <v>0</v>
      </c>
      <c r="BL30" s="368"/>
      <c r="BM30" s="368"/>
      <c r="BN30" s="368"/>
      <c r="BO30" s="106"/>
      <c r="BP30" s="106"/>
      <c r="BQ30" s="554" t="s">
        <v>23</v>
      </c>
      <c r="BR30" s="596" t="e">
        <f>ROUND(BK30/BK31,0)</f>
        <v>#DIV/0!</v>
      </c>
      <c r="BS30" s="596"/>
      <c r="BT30" s="596"/>
      <c r="BU30" s="596"/>
      <c r="BV30" s="597"/>
      <c r="BW30" s="145"/>
      <c r="BX30" s="146"/>
      <c r="BY30" s="146"/>
      <c r="BZ30" s="147"/>
      <c r="CA30" s="222" t="s">
        <v>115</v>
      </c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117" t="s">
        <v>50</v>
      </c>
      <c r="CU30" s="356" t="s">
        <v>23</v>
      </c>
      <c r="CV30" s="368">
        <f>DA15</f>
        <v>0</v>
      </c>
      <c r="CW30" s="368"/>
      <c r="CX30" s="368"/>
      <c r="CY30" s="368"/>
      <c r="CZ30" s="106"/>
      <c r="DA30" s="106"/>
      <c r="DB30" s="554" t="s">
        <v>23</v>
      </c>
      <c r="DC30" s="596" t="e">
        <f>ROUND(CV30/CV31,0)</f>
        <v>#DIV/0!</v>
      </c>
      <c r="DD30" s="596"/>
      <c r="DE30" s="596"/>
      <c r="DF30" s="596"/>
      <c r="DG30" s="597"/>
      <c r="DH30" s="212"/>
      <c r="DI30" s="212"/>
      <c r="DJ30" s="212"/>
      <c r="DK30" s="212"/>
      <c r="DL30" s="102"/>
      <c r="DM30" s="102"/>
      <c r="DN30" s="102"/>
      <c r="DO30" s="356"/>
      <c r="DP30" s="356"/>
      <c r="DQ30" s="356"/>
      <c r="DR30" s="102"/>
      <c r="DS30" s="102"/>
      <c r="DT30" s="102"/>
      <c r="DU30" s="102"/>
      <c r="DV30" s="102"/>
      <c r="DW30" s="105">
        <v>21</v>
      </c>
      <c r="DX30" s="104">
        <v>11</v>
      </c>
      <c r="DY30" s="102">
        <v>47.999999999999972</v>
      </c>
      <c r="DZ30" s="293">
        <v>0.3</v>
      </c>
      <c r="EA30" s="102">
        <v>2.5</v>
      </c>
      <c r="EB30" s="106"/>
      <c r="EC30" s="106"/>
      <c r="ED30" s="106"/>
      <c r="EE30" s="102"/>
    </row>
    <row r="31" spans="1:135" ht="14.25" customHeight="1" x14ac:dyDescent="0.15">
      <c r="A31" s="145"/>
      <c r="B31" s="146"/>
      <c r="C31" s="146"/>
      <c r="D31" s="147"/>
      <c r="E31" s="533" t="s">
        <v>114</v>
      </c>
      <c r="F31" s="356"/>
      <c r="G31" s="356"/>
      <c r="H31" s="356"/>
      <c r="I31" s="356"/>
      <c r="J31" s="333" t="s">
        <v>47</v>
      </c>
      <c r="K31" s="333"/>
      <c r="L31" s="333"/>
      <c r="M31" s="333"/>
      <c r="N31" s="333"/>
      <c r="O31" s="333"/>
      <c r="P31" s="333"/>
      <c r="Q31" s="333"/>
      <c r="R31" s="356" t="s">
        <v>48</v>
      </c>
      <c r="S31" s="373" t="s">
        <v>33</v>
      </c>
      <c r="T31" s="8" t="s">
        <v>50</v>
      </c>
      <c r="U31" s="373" t="s">
        <v>33</v>
      </c>
      <c r="V31" s="203" t="s">
        <v>52</v>
      </c>
      <c r="W31" s="106"/>
      <c r="X31" s="116" t="s">
        <v>49</v>
      </c>
      <c r="Y31" s="356"/>
      <c r="Z31" s="366">
        <f>AC4*0.001</f>
        <v>0</v>
      </c>
      <c r="AA31" s="366"/>
      <c r="AB31" s="366"/>
      <c r="AC31" s="366"/>
      <c r="AD31" s="106"/>
      <c r="AE31" s="106"/>
      <c r="AF31" s="554"/>
      <c r="AG31" s="596"/>
      <c r="AH31" s="596"/>
      <c r="AI31" s="596"/>
      <c r="AJ31" s="596"/>
      <c r="AK31" s="597"/>
      <c r="AL31" s="145"/>
      <c r="AM31" s="146"/>
      <c r="AN31" s="146"/>
      <c r="AO31" s="147"/>
      <c r="AP31" s="533" t="s">
        <v>114</v>
      </c>
      <c r="AQ31" s="356"/>
      <c r="AR31" s="356"/>
      <c r="AS31" s="356"/>
      <c r="AT31" s="356"/>
      <c r="AU31" s="333" t="s">
        <v>47</v>
      </c>
      <c r="AV31" s="333"/>
      <c r="AW31" s="333"/>
      <c r="AX31" s="333"/>
      <c r="AY31" s="333"/>
      <c r="AZ31" s="333"/>
      <c r="BA31" s="333"/>
      <c r="BB31" s="333"/>
      <c r="BC31" s="356" t="s">
        <v>48</v>
      </c>
      <c r="BD31" s="373" t="s">
        <v>33</v>
      </c>
      <c r="BE31" s="8" t="s">
        <v>50</v>
      </c>
      <c r="BF31" s="373" t="s">
        <v>33</v>
      </c>
      <c r="BG31" s="203" t="s">
        <v>52</v>
      </c>
      <c r="BH31" s="106"/>
      <c r="BI31" s="116" t="s">
        <v>49</v>
      </c>
      <c r="BJ31" s="356"/>
      <c r="BK31" s="366">
        <f>BN4*0.001</f>
        <v>0</v>
      </c>
      <c r="BL31" s="366"/>
      <c r="BM31" s="366"/>
      <c r="BN31" s="366"/>
      <c r="BO31" s="106"/>
      <c r="BP31" s="106"/>
      <c r="BQ31" s="554"/>
      <c r="BR31" s="596"/>
      <c r="BS31" s="596"/>
      <c r="BT31" s="596"/>
      <c r="BU31" s="596"/>
      <c r="BV31" s="597"/>
      <c r="BW31" s="145"/>
      <c r="BX31" s="146"/>
      <c r="BY31" s="146"/>
      <c r="BZ31" s="147"/>
      <c r="CA31" s="533" t="s">
        <v>114</v>
      </c>
      <c r="CB31" s="356"/>
      <c r="CC31" s="356"/>
      <c r="CD31" s="356"/>
      <c r="CE31" s="356"/>
      <c r="CF31" s="333" t="s">
        <v>47</v>
      </c>
      <c r="CG31" s="333"/>
      <c r="CH31" s="333"/>
      <c r="CI31" s="333"/>
      <c r="CJ31" s="333"/>
      <c r="CK31" s="333"/>
      <c r="CL31" s="333"/>
      <c r="CM31" s="333"/>
      <c r="CN31" s="356" t="s">
        <v>48</v>
      </c>
      <c r="CO31" s="373" t="s">
        <v>33</v>
      </c>
      <c r="CP31" s="8" t="s">
        <v>50</v>
      </c>
      <c r="CQ31" s="373" t="s">
        <v>33</v>
      </c>
      <c r="CR31" s="203" t="s">
        <v>52</v>
      </c>
      <c r="CS31" s="106"/>
      <c r="CT31" s="116" t="s">
        <v>49</v>
      </c>
      <c r="CU31" s="356"/>
      <c r="CV31" s="366">
        <f>CY4*0.001</f>
        <v>0</v>
      </c>
      <c r="CW31" s="366"/>
      <c r="CX31" s="366"/>
      <c r="CY31" s="366"/>
      <c r="CZ31" s="106"/>
      <c r="DA31" s="106"/>
      <c r="DB31" s="554"/>
      <c r="DC31" s="596"/>
      <c r="DD31" s="596"/>
      <c r="DE31" s="596"/>
      <c r="DF31" s="596"/>
      <c r="DG31" s="597"/>
      <c r="DH31" s="212"/>
      <c r="DI31" s="212"/>
      <c r="DJ31" s="212"/>
      <c r="DK31" s="212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2"/>
      <c r="DW31" s="105">
        <v>22</v>
      </c>
      <c r="DX31" s="104">
        <v>11.5</v>
      </c>
      <c r="DY31" s="102">
        <v>47.89999999999997</v>
      </c>
      <c r="DZ31" s="293">
        <v>0.28999999999999998</v>
      </c>
      <c r="EA31" s="102">
        <v>2.6</v>
      </c>
      <c r="EB31" s="106"/>
      <c r="EC31" s="106"/>
      <c r="ED31" s="106"/>
      <c r="EE31" s="102"/>
    </row>
    <row r="32" spans="1:135" x14ac:dyDescent="0.15">
      <c r="A32" s="145"/>
      <c r="B32" s="146"/>
      <c r="C32" s="146"/>
      <c r="D32" s="147"/>
      <c r="E32" s="533"/>
      <c r="F32" s="356"/>
      <c r="G32" s="356"/>
      <c r="H32" s="356"/>
      <c r="I32" s="356"/>
      <c r="J32" s="351" t="s">
        <v>64</v>
      </c>
      <c r="K32" s="351"/>
      <c r="L32" s="351"/>
      <c r="M32" s="351"/>
      <c r="N32" s="351"/>
      <c r="O32" s="351"/>
      <c r="P32" s="351"/>
      <c r="Q32" s="351"/>
      <c r="R32" s="356"/>
      <c r="S32" s="373"/>
      <c r="T32" s="222" t="s">
        <v>49</v>
      </c>
      <c r="U32" s="373"/>
      <c r="V32" s="198" t="s">
        <v>111</v>
      </c>
      <c r="W32" s="106"/>
      <c r="X32" s="560" t="s">
        <v>113</v>
      </c>
      <c r="Y32" s="356"/>
      <c r="Z32" s="356"/>
      <c r="AA32" s="561">
        <f>AB12</f>
        <v>0</v>
      </c>
      <c r="AB32" s="561"/>
      <c r="AC32" s="561"/>
      <c r="AD32" s="561"/>
      <c r="AE32" s="561"/>
      <c r="AF32" s="554" t="s">
        <v>23</v>
      </c>
      <c r="AG32" s="594" t="e">
        <f>ROUND(AA32/AA33,3)</f>
        <v>#N/A</v>
      </c>
      <c r="AH32" s="594"/>
      <c r="AI32" s="594"/>
      <c r="AJ32" s="594"/>
      <c r="AK32" s="595"/>
      <c r="AL32" s="145"/>
      <c r="AM32" s="146"/>
      <c r="AN32" s="146"/>
      <c r="AO32" s="147"/>
      <c r="AP32" s="533"/>
      <c r="AQ32" s="356"/>
      <c r="AR32" s="356"/>
      <c r="AS32" s="356"/>
      <c r="AT32" s="356"/>
      <c r="AU32" s="351" t="s">
        <v>64</v>
      </c>
      <c r="AV32" s="351"/>
      <c r="AW32" s="351"/>
      <c r="AX32" s="351"/>
      <c r="AY32" s="351"/>
      <c r="AZ32" s="351"/>
      <c r="BA32" s="351"/>
      <c r="BB32" s="351"/>
      <c r="BC32" s="356"/>
      <c r="BD32" s="373"/>
      <c r="BE32" s="222" t="s">
        <v>49</v>
      </c>
      <c r="BF32" s="373"/>
      <c r="BG32" s="198" t="s">
        <v>111</v>
      </c>
      <c r="BH32" s="106"/>
      <c r="BI32" s="560" t="s">
        <v>113</v>
      </c>
      <c r="BJ32" s="356"/>
      <c r="BK32" s="356"/>
      <c r="BL32" s="561">
        <f>BM12</f>
        <v>0</v>
      </c>
      <c r="BM32" s="561"/>
      <c r="BN32" s="561"/>
      <c r="BO32" s="561"/>
      <c r="BP32" s="561"/>
      <c r="BQ32" s="554" t="s">
        <v>23</v>
      </c>
      <c r="BR32" s="594" t="e">
        <f>ROUND(BL32/BL33,3)</f>
        <v>#N/A</v>
      </c>
      <c r="BS32" s="594"/>
      <c r="BT32" s="594"/>
      <c r="BU32" s="594"/>
      <c r="BV32" s="595"/>
      <c r="BW32" s="145"/>
      <c r="BX32" s="146"/>
      <c r="BY32" s="146"/>
      <c r="BZ32" s="147"/>
      <c r="CA32" s="533"/>
      <c r="CB32" s="356"/>
      <c r="CC32" s="356"/>
      <c r="CD32" s="356"/>
      <c r="CE32" s="356"/>
      <c r="CF32" s="351" t="s">
        <v>64</v>
      </c>
      <c r="CG32" s="351"/>
      <c r="CH32" s="351"/>
      <c r="CI32" s="351"/>
      <c r="CJ32" s="351"/>
      <c r="CK32" s="351"/>
      <c r="CL32" s="351"/>
      <c r="CM32" s="351"/>
      <c r="CN32" s="356"/>
      <c r="CO32" s="373"/>
      <c r="CP32" s="222" t="s">
        <v>49</v>
      </c>
      <c r="CQ32" s="373"/>
      <c r="CR32" s="198" t="s">
        <v>111</v>
      </c>
      <c r="CS32" s="106"/>
      <c r="CT32" s="560" t="s">
        <v>113</v>
      </c>
      <c r="CU32" s="356"/>
      <c r="CV32" s="356"/>
      <c r="CW32" s="561">
        <f>CX12</f>
        <v>0</v>
      </c>
      <c r="CX32" s="561"/>
      <c r="CY32" s="561"/>
      <c r="CZ32" s="561"/>
      <c r="DA32" s="561"/>
      <c r="DB32" s="554" t="s">
        <v>23</v>
      </c>
      <c r="DC32" s="594" t="e">
        <f>ROUND(CW32/CW33,3)</f>
        <v>#N/A</v>
      </c>
      <c r="DD32" s="594"/>
      <c r="DE32" s="594"/>
      <c r="DF32" s="594"/>
      <c r="DG32" s="595"/>
      <c r="DH32" s="213"/>
      <c r="DI32" s="213"/>
      <c r="DJ32" s="213"/>
      <c r="DK32" s="213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2"/>
      <c r="DW32" s="105">
        <v>23</v>
      </c>
      <c r="DX32" s="104">
        <v>12</v>
      </c>
      <c r="DY32" s="102">
        <v>47.799999999999969</v>
      </c>
      <c r="DZ32" s="293">
        <v>0.28000000000000003</v>
      </c>
      <c r="EA32" s="102">
        <v>2.7</v>
      </c>
      <c r="EB32" s="106"/>
      <c r="EC32" s="106"/>
      <c r="ED32" s="106"/>
      <c r="EE32" s="102"/>
    </row>
    <row r="33" spans="1:135" ht="14.25" customHeight="1" x14ac:dyDescent="0.15">
      <c r="A33" s="24"/>
      <c r="B33" s="222"/>
      <c r="C33" s="222"/>
      <c r="D33" s="17"/>
      <c r="E33" s="533" t="s">
        <v>112</v>
      </c>
      <c r="F33" s="356"/>
      <c r="G33" s="609">
        <f>IF(A55&gt;0,ROUND((0.0126+AG36/AG37)*AG30*AG34,1),0)</f>
        <v>0</v>
      </c>
      <c r="H33" s="609"/>
      <c r="I33" s="609"/>
      <c r="J33" s="609"/>
      <c r="K33" s="609"/>
      <c r="L33" s="535" t="s">
        <v>32</v>
      </c>
      <c r="M33" s="115"/>
      <c r="N33" s="222"/>
      <c r="O33" s="222"/>
      <c r="P33" s="106"/>
      <c r="Q33" s="106"/>
      <c r="R33" s="106"/>
      <c r="S33" s="106"/>
      <c r="T33" s="106"/>
      <c r="U33" s="106"/>
      <c r="V33" s="106"/>
      <c r="W33" s="106"/>
      <c r="X33" s="560"/>
      <c r="Y33" s="356"/>
      <c r="Z33" s="356"/>
      <c r="AA33" s="562" t="e">
        <f>HLOOKUP($AG$18,$DO$18:$DS$28,11)</f>
        <v>#N/A</v>
      </c>
      <c r="AB33" s="562"/>
      <c r="AC33" s="562"/>
      <c r="AD33" s="562"/>
      <c r="AE33" s="562"/>
      <c r="AF33" s="554"/>
      <c r="AG33" s="594"/>
      <c r="AH33" s="594"/>
      <c r="AI33" s="594"/>
      <c r="AJ33" s="594"/>
      <c r="AK33" s="595"/>
      <c r="AL33" s="24"/>
      <c r="AM33" s="222"/>
      <c r="AN33" s="222"/>
      <c r="AO33" s="17"/>
      <c r="AP33" s="533" t="s">
        <v>112</v>
      </c>
      <c r="AQ33" s="356"/>
      <c r="AR33" s="609">
        <f>IF(AL55&gt;0,ROUND((0.0126+BR36/BR37)*BR30*BR34,1),0)</f>
        <v>0</v>
      </c>
      <c r="AS33" s="609"/>
      <c r="AT33" s="609"/>
      <c r="AU33" s="609"/>
      <c r="AV33" s="609"/>
      <c r="AW33" s="535" t="s">
        <v>32</v>
      </c>
      <c r="AX33" s="115"/>
      <c r="AY33" s="222"/>
      <c r="AZ33" s="222"/>
      <c r="BA33" s="106"/>
      <c r="BB33" s="106"/>
      <c r="BC33" s="106"/>
      <c r="BD33" s="106"/>
      <c r="BE33" s="106"/>
      <c r="BF33" s="106"/>
      <c r="BG33" s="106"/>
      <c r="BH33" s="106"/>
      <c r="BI33" s="560"/>
      <c r="BJ33" s="356"/>
      <c r="BK33" s="356"/>
      <c r="BL33" s="562" t="e">
        <f>HLOOKUP($BR$18,$DO$18:$DS$28,11)</f>
        <v>#N/A</v>
      </c>
      <c r="BM33" s="562"/>
      <c r="BN33" s="562"/>
      <c r="BO33" s="562"/>
      <c r="BP33" s="562"/>
      <c r="BQ33" s="554"/>
      <c r="BR33" s="594"/>
      <c r="BS33" s="594"/>
      <c r="BT33" s="594"/>
      <c r="BU33" s="594"/>
      <c r="BV33" s="595"/>
      <c r="BW33" s="24"/>
      <c r="BX33" s="222"/>
      <c r="BY33" s="222"/>
      <c r="BZ33" s="17"/>
      <c r="CA33" s="533" t="s">
        <v>112</v>
      </c>
      <c r="CB33" s="356"/>
      <c r="CC33" s="609">
        <f>IF(BW55&gt;0,ROUND((0.0126+DC36/DC37)*DC30*DC34,1),0)</f>
        <v>0</v>
      </c>
      <c r="CD33" s="609"/>
      <c r="CE33" s="609"/>
      <c r="CF33" s="609"/>
      <c r="CG33" s="609"/>
      <c r="CH33" s="535" t="s">
        <v>32</v>
      </c>
      <c r="CI33" s="115"/>
      <c r="CJ33" s="222"/>
      <c r="CK33" s="222"/>
      <c r="CL33" s="106"/>
      <c r="CM33" s="106"/>
      <c r="CN33" s="106"/>
      <c r="CO33" s="106"/>
      <c r="CP33" s="106"/>
      <c r="CQ33" s="106"/>
      <c r="CR33" s="106"/>
      <c r="CS33" s="106"/>
      <c r="CT33" s="560"/>
      <c r="CU33" s="356"/>
      <c r="CV33" s="356"/>
      <c r="CW33" s="562" t="e">
        <f>HLOOKUP($DC$18,$DO$18:$DS$28,11)</f>
        <v>#N/A</v>
      </c>
      <c r="CX33" s="562"/>
      <c r="CY33" s="562"/>
      <c r="CZ33" s="562"/>
      <c r="DA33" s="562"/>
      <c r="DB33" s="554"/>
      <c r="DC33" s="594"/>
      <c r="DD33" s="594"/>
      <c r="DE33" s="594"/>
      <c r="DF33" s="594"/>
      <c r="DG33" s="595"/>
      <c r="DH33" s="213"/>
      <c r="DI33" s="213"/>
      <c r="DJ33" s="213"/>
      <c r="DK33" s="213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14"/>
      <c r="DW33" s="105">
        <v>24</v>
      </c>
      <c r="DX33" s="104">
        <v>12.5</v>
      </c>
      <c r="DY33" s="102">
        <v>47.699999999999967</v>
      </c>
      <c r="DZ33" s="293">
        <v>0.27</v>
      </c>
      <c r="EA33" s="102">
        <v>2.8</v>
      </c>
      <c r="EB33" s="106"/>
      <c r="EC33" s="106"/>
      <c r="ED33" s="106"/>
      <c r="EE33" s="102"/>
    </row>
    <row r="34" spans="1:135" ht="15.75" customHeight="1" x14ac:dyDescent="0.15">
      <c r="A34" s="24"/>
      <c r="B34" s="222"/>
      <c r="C34" s="222"/>
      <c r="D34" s="17"/>
      <c r="E34" s="533"/>
      <c r="F34" s="356"/>
      <c r="G34" s="609"/>
      <c r="H34" s="609"/>
      <c r="I34" s="609"/>
      <c r="J34" s="609"/>
      <c r="K34" s="609"/>
      <c r="L34" s="535"/>
      <c r="M34" s="222"/>
      <c r="N34" s="222"/>
      <c r="O34" s="222"/>
      <c r="P34" s="222"/>
      <c r="Q34" s="222"/>
      <c r="R34" s="222"/>
      <c r="S34" s="106"/>
      <c r="T34" s="106"/>
      <c r="U34" s="106"/>
      <c r="V34" s="222"/>
      <c r="W34" s="222"/>
      <c r="X34" s="202" t="s">
        <v>52</v>
      </c>
      <c r="Y34" s="356" t="s">
        <v>23</v>
      </c>
      <c r="Z34" s="536" t="e">
        <f>AG32</f>
        <v>#N/A</v>
      </c>
      <c r="AA34" s="536"/>
      <c r="AB34" s="536"/>
      <c r="AC34" s="536"/>
      <c r="AD34" s="536"/>
      <c r="AE34" s="223">
        <v>2</v>
      </c>
      <c r="AF34" s="554" t="s">
        <v>23</v>
      </c>
      <c r="AG34" s="557" t="e">
        <f>ROUND(Z34*Z34/19.6,4)</f>
        <v>#N/A</v>
      </c>
      <c r="AH34" s="557"/>
      <c r="AI34" s="557"/>
      <c r="AJ34" s="557"/>
      <c r="AK34" s="558"/>
      <c r="AL34" s="24"/>
      <c r="AM34" s="222"/>
      <c r="AN34" s="222"/>
      <c r="AO34" s="17"/>
      <c r="AP34" s="533"/>
      <c r="AQ34" s="356"/>
      <c r="AR34" s="609"/>
      <c r="AS34" s="609"/>
      <c r="AT34" s="609"/>
      <c r="AU34" s="609"/>
      <c r="AV34" s="609"/>
      <c r="AW34" s="535"/>
      <c r="AX34" s="222"/>
      <c r="AY34" s="222"/>
      <c r="AZ34" s="222"/>
      <c r="BA34" s="222"/>
      <c r="BB34" s="222"/>
      <c r="BC34" s="222"/>
      <c r="BD34" s="106"/>
      <c r="BE34" s="106"/>
      <c r="BF34" s="106"/>
      <c r="BG34" s="222"/>
      <c r="BH34" s="222"/>
      <c r="BI34" s="202" t="s">
        <v>52</v>
      </c>
      <c r="BJ34" s="356" t="s">
        <v>23</v>
      </c>
      <c r="BK34" s="536" t="e">
        <f>BR32</f>
        <v>#N/A</v>
      </c>
      <c r="BL34" s="536"/>
      <c r="BM34" s="536"/>
      <c r="BN34" s="536"/>
      <c r="BO34" s="536"/>
      <c r="BP34" s="223">
        <v>2</v>
      </c>
      <c r="BQ34" s="554" t="s">
        <v>23</v>
      </c>
      <c r="BR34" s="557" t="e">
        <f>ROUND(BK34*BK34/19.6,4)</f>
        <v>#N/A</v>
      </c>
      <c r="BS34" s="557"/>
      <c r="BT34" s="557"/>
      <c r="BU34" s="557"/>
      <c r="BV34" s="558"/>
      <c r="BW34" s="24"/>
      <c r="BX34" s="222"/>
      <c r="BY34" s="222"/>
      <c r="BZ34" s="17"/>
      <c r="CA34" s="533"/>
      <c r="CB34" s="356"/>
      <c r="CC34" s="609"/>
      <c r="CD34" s="609"/>
      <c r="CE34" s="609"/>
      <c r="CF34" s="609"/>
      <c r="CG34" s="609"/>
      <c r="CH34" s="535"/>
      <c r="CI34" s="222"/>
      <c r="CJ34" s="222"/>
      <c r="CK34" s="222"/>
      <c r="CL34" s="222"/>
      <c r="CM34" s="222"/>
      <c r="CN34" s="222"/>
      <c r="CO34" s="106"/>
      <c r="CP34" s="106"/>
      <c r="CQ34" s="106"/>
      <c r="CR34" s="222"/>
      <c r="CS34" s="222"/>
      <c r="CT34" s="202" t="s">
        <v>52</v>
      </c>
      <c r="CU34" s="356" t="s">
        <v>23</v>
      </c>
      <c r="CV34" s="536" t="e">
        <f>DC32</f>
        <v>#N/A</v>
      </c>
      <c r="CW34" s="536"/>
      <c r="CX34" s="536"/>
      <c r="CY34" s="536"/>
      <c r="CZ34" s="536"/>
      <c r="DA34" s="223">
        <v>2</v>
      </c>
      <c r="DB34" s="554" t="s">
        <v>23</v>
      </c>
      <c r="DC34" s="557" t="e">
        <f>ROUND(CV34*CV34/19.6,4)</f>
        <v>#N/A</v>
      </c>
      <c r="DD34" s="557"/>
      <c r="DE34" s="557"/>
      <c r="DF34" s="557"/>
      <c r="DG34" s="558"/>
      <c r="DH34" s="214"/>
      <c r="DI34" s="214"/>
      <c r="DJ34" s="214"/>
      <c r="DK34" s="214"/>
      <c r="DL34" s="106"/>
      <c r="DM34" s="14"/>
      <c r="DN34" s="14"/>
      <c r="DO34" s="14"/>
      <c r="DP34" s="14"/>
      <c r="DQ34" s="14"/>
      <c r="DR34" s="106"/>
      <c r="DS34" s="106"/>
      <c r="DT34" s="106"/>
      <c r="DU34" s="106"/>
      <c r="DV34" s="114"/>
      <c r="DW34" s="105">
        <v>25</v>
      </c>
      <c r="DX34" s="104">
        <v>13</v>
      </c>
      <c r="DY34" s="102">
        <v>47.599999999999966</v>
      </c>
      <c r="DZ34" s="293">
        <v>0.26</v>
      </c>
      <c r="EA34" s="102">
        <v>2.9</v>
      </c>
      <c r="EB34" s="106"/>
      <c r="EC34" s="106"/>
      <c r="ED34" s="106"/>
      <c r="EE34" s="102"/>
    </row>
    <row r="35" spans="1:135" x14ac:dyDescent="0.15">
      <c r="A35" s="24"/>
      <c r="B35" s="222"/>
      <c r="C35" s="222"/>
      <c r="D35" s="17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222"/>
      <c r="Q35" s="222"/>
      <c r="R35" s="222"/>
      <c r="S35" s="106"/>
      <c r="T35" s="106"/>
      <c r="U35" s="106"/>
      <c r="V35" s="222"/>
      <c r="W35" s="222"/>
      <c r="X35" s="204" t="s">
        <v>111</v>
      </c>
      <c r="Y35" s="356"/>
      <c r="Z35" s="559" t="s">
        <v>146</v>
      </c>
      <c r="AA35" s="559"/>
      <c r="AB35" s="559"/>
      <c r="AC35" s="559"/>
      <c r="AD35" s="559"/>
      <c r="AE35" s="106"/>
      <c r="AF35" s="554"/>
      <c r="AG35" s="557"/>
      <c r="AH35" s="557"/>
      <c r="AI35" s="557"/>
      <c r="AJ35" s="557"/>
      <c r="AK35" s="558"/>
      <c r="AL35" s="24"/>
      <c r="AM35" s="222"/>
      <c r="AN35" s="222"/>
      <c r="AO35" s="17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222"/>
      <c r="BB35" s="222"/>
      <c r="BC35" s="222"/>
      <c r="BD35" s="106"/>
      <c r="BE35" s="106"/>
      <c r="BF35" s="106"/>
      <c r="BG35" s="222"/>
      <c r="BH35" s="222"/>
      <c r="BI35" s="204" t="s">
        <v>111</v>
      </c>
      <c r="BJ35" s="356"/>
      <c r="BK35" s="559" t="s">
        <v>146</v>
      </c>
      <c r="BL35" s="559"/>
      <c r="BM35" s="559"/>
      <c r="BN35" s="559"/>
      <c r="BO35" s="559"/>
      <c r="BP35" s="106"/>
      <c r="BQ35" s="554"/>
      <c r="BR35" s="557"/>
      <c r="BS35" s="557"/>
      <c r="BT35" s="557"/>
      <c r="BU35" s="557"/>
      <c r="BV35" s="558"/>
      <c r="BW35" s="24"/>
      <c r="BX35" s="222"/>
      <c r="BY35" s="222"/>
      <c r="BZ35" s="17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222"/>
      <c r="CM35" s="222"/>
      <c r="CN35" s="222"/>
      <c r="CO35" s="106"/>
      <c r="CP35" s="106"/>
      <c r="CQ35" s="106"/>
      <c r="CR35" s="222"/>
      <c r="CS35" s="222"/>
      <c r="CT35" s="204" t="s">
        <v>111</v>
      </c>
      <c r="CU35" s="356"/>
      <c r="CV35" s="559" t="s">
        <v>146</v>
      </c>
      <c r="CW35" s="559"/>
      <c r="CX35" s="559"/>
      <c r="CY35" s="559"/>
      <c r="CZ35" s="559"/>
      <c r="DA35" s="106"/>
      <c r="DB35" s="554"/>
      <c r="DC35" s="557"/>
      <c r="DD35" s="557"/>
      <c r="DE35" s="557"/>
      <c r="DF35" s="557"/>
      <c r="DG35" s="558"/>
      <c r="DH35" s="214"/>
      <c r="DI35" s="214"/>
      <c r="DJ35" s="214"/>
      <c r="DK35" s="214"/>
      <c r="DL35" s="102"/>
      <c r="DM35" s="14"/>
      <c r="DN35" s="14"/>
      <c r="DO35" s="14"/>
      <c r="DP35" s="14"/>
      <c r="DQ35" s="14"/>
      <c r="DR35" s="106"/>
      <c r="DS35" s="106"/>
      <c r="DT35" s="106"/>
      <c r="DU35" s="106"/>
      <c r="DV35" s="102"/>
      <c r="DW35" s="105">
        <v>26</v>
      </c>
      <c r="DX35" s="104">
        <v>13.5</v>
      </c>
      <c r="DY35" s="102">
        <v>47.499999999999964</v>
      </c>
      <c r="DZ35" s="293">
        <v>0.25</v>
      </c>
      <c r="EA35" s="102">
        <v>3</v>
      </c>
      <c r="EB35" s="106"/>
      <c r="EC35" s="106"/>
      <c r="ED35" s="106"/>
      <c r="EE35" s="102"/>
    </row>
    <row r="36" spans="1:135" x14ac:dyDescent="0.15">
      <c r="A36" s="24"/>
      <c r="B36" s="222"/>
      <c r="C36" s="222"/>
      <c r="D36" s="17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356"/>
      <c r="Q36" s="373"/>
      <c r="R36" s="222"/>
      <c r="S36" s="222"/>
      <c r="T36" s="222"/>
      <c r="U36" s="222"/>
      <c r="V36" s="222"/>
      <c r="W36" s="222"/>
      <c r="X36" s="113" t="s">
        <v>110</v>
      </c>
      <c r="Y36" s="222"/>
      <c r="Z36" s="222"/>
      <c r="AA36" s="222"/>
      <c r="AB36" s="198"/>
      <c r="AC36" s="222"/>
      <c r="AD36" s="222"/>
      <c r="AE36" s="222"/>
      <c r="AF36" s="216" t="s">
        <v>102</v>
      </c>
      <c r="AG36" s="555">
        <f>ROUND(0.01739-(0.1087*Z31),5)</f>
        <v>1.7389999999999999E-2</v>
      </c>
      <c r="AH36" s="555"/>
      <c r="AI36" s="555"/>
      <c r="AJ36" s="555"/>
      <c r="AK36" s="556"/>
      <c r="AL36" s="24"/>
      <c r="AM36" s="222"/>
      <c r="AN36" s="222"/>
      <c r="AO36" s="17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356"/>
      <c r="BB36" s="373"/>
      <c r="BC36" s="222"/>
      <c r="BD36" s="222"/>
      <c r="BE36" s="222"/>
      <c r="BF36" s="222"/>
      <c r="BG36" s="222"/>
      <c r="BH36" s="222"/>
      <c r="BI36" s="113" t="s">
        <v>110</v>
      </c>
      <c r="BJ36" s="222"/>
      <c r="BK36" s="222"/>
      <c r="BL36" s="222"/>
      <c r="BM36" s="198"/>
      <c r="BN36" s="222"/>
      <c r="BO36" s="222"/>
      <c r="BP36" s="222"/>
      <c r="BQ36" s="216" t="s">
        <v>23</v>
      </c>
      <c r="BR36" s="555">
        <f>ROUND(0.01739-(0.1087*BK31),5)</f>
        <v>1.7389999999999999E-2</v>
      </c>
      <c r="BS36" s="555"/>
      <c r="BT36" s="555"/>
      <c r="BU36" s="555"/>
      <c r="BV36" s="556"/>
      <c r="BW36" s="24"/>
      <c r="BX36" s="222"/>
      <c r="BY36" s="222"/>
      <c r="BZ36" s="17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356"/>
      <c r="CM36" s="373"/>
      <c r="CN36" s="222"/>
      <c r="CO36" s="222"/>
      <c r="CP36" s="222"/>
      <c r="CQ36" s="222"/>
      <c r="CR36" s="222"/>
      <c r="CS36" s="222"/>
      <c r="CT36" s="113" t="s">
        <v>110</v>
      </c>
      <c r="CU36" s="222"/>
      <c r="CV36" s="222"/>
      <c r="CW36" s="222"/>
      <c r="CX36" s="198"/>
      <c r="CY36" s="222"/>
      <c r="CZ36" s="222"/>
      <c r="DA36" s="222"/>
      <c r="DB36" s="216" t="s">
        <v>23</v>
      </c>
      <c r="DC36" s="555">
        <f>ROUND(0.01739-(0.1087*CV31),5)</f>
        <v>1.7389999999999999E-2</v>
      </c>
      <c r="DD36" s="555"/>
      <c r="DE36" s="555"/>
      <c r="DF36" s="555"/>
      <c r="DG36" s="556"/>
      <c r="DH36" s="216"/>
      <c r="DI36" s="216"/>
      <c r="DJ36" s="216"/>
      <c r="DK36" s="216"/>
      <c r="DL36" s="106"/>
      <c r="DM36" s="122"/>
      <c r="DN36" s="122"/>
      <c r="DO36" s="122"/>
      <c r="DP36" s="122"/>
      <c r="DQ36" s="122"/>
      <c r="DR36" s="106"/>
      <c r="DS36" s="106"/>
      <c r="DT36" s="106"/>
      <c r="DU36" s="106"/>
      <c r="DV36" s="102"/>
      <c r="DW36" s="105">
        <v>27</v>
      </c>
      <c r="DX36" s="104">
        <v>14</v>
      </c>
      <c r="DY36" s="102">
        <v>47.399999999999963</v>
      </c>
      <c r="DZ36" s="293">
        <v>0.24</v>
      </c>
      <c r="EA36" s="102">
        <v>3.1</v>
      </c>
      <c r="EB36" s="106"/>
      <c r="EC36" s="106"/>
      <c r="ED36" s="106"/>
      <c r="EE36" s="102"/>
    </row>
    <row r="37" spans="1:135" x14ac:dyDescent="0.15">
      <c r="A37" s="24"/>
      <c r="B37" s="222"/>
      <c r="C37" s="222"/>
      <c r="D37" s="17"/>
      <c r="E37" s="221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356"/>
      <c r="Q37" s="373"/>
      <c r="R37" s="222"/>
      <c r="S37" s="222"/>
      <c r="T37" s="222"/>
      <c r="U37" s="222"/>
      <c r="V37" s="222"/>
      <c r="W37" s="222"/>
      <c r="X37" s="560" t="s">
        <v>109</v>
      </c>
      <c r="Y37" s="356"/>
      <c r="Z37" s="222"/>
      <c r="AA37" s="106"/>
      <c r="AB37" s="106"/>
      <c r="AC37" s="106"/>
      <c r="AD37" s="106"/>
      <c r="AE37" s="106"/>
      <c r="AF37" s="135" t="s">
        <v>102</v>
      </c>
      <c r="AG37" s="552" t="e">
        <f>ROUND(SQRT(AG32),3)</f>
        <v>#N/A</v>
      </c>
      <c r="AH37" s="552"/>
      <c r="AI37" s="552"/>
      <c r="AJ37" s="552"/>
      <c r="AK37" s="553"/>
      <c r="AL37" s="24"/>
      <c r="AM37" s="222"/>
      <c r="AN37" s="222"/>
      <c r="AO37" s="17"/>
      <c r="AP37" s="221"/>
      <c r="AQ37" s="222"/>
      <c r="AR37" s="222"/>
      <c r="AS37" s="222"/>
      <c r="AT37" s="222"/>
      <c r="AU37" s="222"/>
      <c r="AV37" s="222"/>
      <c r="AW37" s="222"/>
      <c r="AX37" s="222"/>
      <c r="AY37" s="222"/>
      <c r="AZ37" s="222"/>
      <c r="BA37" s="356"/>
      <c r="BB37" s="373"/>
      <c r="BC37" s="222"/>
      <c r="BD37" s="222"/>
      <c r="BE37" s="222"/>
      <c r="BF37" s="222"/>
      <c r="BG37" s="222"/>
      <c r="BH37" s="222"/>
      <c r="BI37" s="560" t="s">
        <v>109</v>
      </c>
      <c r="BJ37" s="356"/>
      <c r="BK37" s="222"/>
      <c r="BL37" s="106"/>
      <c r="BM37" s="106"/>
      <c r="BN37" s="106"/>
      <c r="BO37" s="106"/>
      <c r="BP37" s="106"/>
      <c r="BQ37" s="135" t="s">
        <v>23</v>
      </c>
      <c r="BR37" s="552" t="e">
        <f>ROUND(SQRT(BR32),3)</f>
        <v>#N/A</v>
      </c>
      <c r="BS37" s="552"/>
      <c r="BT37" s="552"/>
      <c r="BU37" s="552"/>
      <c r="BV37" s="553"/>
      <c r="BW37" s="24"/>
      <c r="BX37" s="222"/>
      <c r="BY37" s="222"/>
      <c r="BZ37" s="17"/>
      <c r="CA37" s="221"/>
      <c r="CB37" s="222"/>
      <c r="CC37" s="222"/>
      <c r="CD37" s="222"/>
      <c r="CE37" s="222"/>
      <c r="CF37" s="222"/>
      <c r="CG37" s="222"/>
      <c r="CH37" s="222"/>
      <c r="CI37" s="222"/>
      <c r="CJ37" s="222"/>
      <c r="CK37" s="222"/>
      <c r="CL37" s="356"/>
      <c r="CM37" s="373"/>
      <c r="CN37" s="222"/>
      <c r="CO37" s="222"/>
      <c r="CP37" s="222"/>
      <c r="CQ37" s="222"/>
      <c r="CR37" s="222"/>
      <c r="CS37" s="222"/>
      <c r="CT37" s="560" t="s">
        <v>109</v>
      </c>
      <c r="CU37" s="356"/>
      <c r="CV37" s="222"/>
      <c r="CW37" s="106"/>
      <c r="CX37" s="106"/>
      <c r="CY37" s="106"/>
      <c r="CZ37" s="106"/>
      <c r="DA37" s="106"/>
      <c r="DB37" s="135" t="s">
        <v>23</v>
      </c>
      <c r="DC37" s="552" t="e">
        <f>ROUND(SQRT(DC32),3)</f>
        <v>#N/A</v>
      </c>
      <c r="DD37" s="552"/>
      <c r="DE37" s="552"/>
      <c r="DF37" s="552"/>
      <c r="DG37" s="553"/>
      <c r="DH37" s="217"/>
      <c r="DI37" s="217"/>
      <c r="DJ37" s="217"/>
      <c r="DK37" s="217"/>
      <c r="DL37" s="106"/>
      <c r="DM37" s="122"/>
      <c r="DN37" s="122"/>
      <c r="DO37" s="122"/>
      <c r="DP37" s="122"/>
      <c r="DQ37" s="122"/>
      <c r="DR37" s="106"/>
      <c r="DS37" s="106"/>
      <c r="DT37" s="106"/>
      <c r="DU37" s="106"/>
      <c r="DV37" s="102"/>
      <c r="DW37" s="105">
        <v>28</v>
      </c>
      <c r="DX37" s="104">
        <v>14.5</v>
      </c>
      <c r="DY37" s="102">
        <v>47.299999999999962</v>
      </c>
      <c r="DZ37" s="293">
        <v>0.23</v>
      </c>
      <c r="EA37" s="102">
        <v>3.2</v>
      </c>
      <c r="EB37" s="106"/>
      <c r="EC37" s="106"/>
      <c r="ED37" s="106"/>
      <c r="EE37" s="102"/>
    </row>
    <row r="38" spans="1:135" x14ac:dyDescent="0.15">
      <c r="A38" s="24"/>
      <c r="B38" s="222"/>
      <c r="C38" s="222"/>
      <c r="D38" s="17"/>
      <c r="E38" s="112" t="s">
        <v>108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111"/>
      <c r="AL38" s="24"/>
      <c r="AM38" s="222"/>
      <c r="AN38" s="222"/>
      <c r="AO38" s="17"/>
      <c r="AP38" s="112" t="s">
        <v>108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111"/>
      <c r="BW38" s="24"/>
      <c r="BX38" s="222"/>
      <c r="BY38" s="222"/>
      <c r="BZ38" s="17"/>
      <c r="CA38" s="112" t="s">
        <v>108</v>
      </c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111"/>
      <c r="DH38" s="222"/>
      <c r="DI38" s="222"/>
      <c r="DJ38" s="222"/>
      <c r="DK38" s="222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2"/>
      <c r="DW38" s="105">
        <v>29</v>
      </c>
      <c r="DX38" s="104">
        <v>15</v>
      </c>
      <c r="DY38" s="102">
        <v>47.19999999999996</v>
      </c>
      <c r="DZ38" s="293">
        <v>0.22</v>
      </c>
      <c r="EA38" s="102">
        <v>3.3</v>
      </c>
      <c r="EB38" s="106"/>
      <c r="EC38" s="106"/>
      <c r="ED38" s="106"/>
      <c r="EE38" s="102"/>
    </row>
    <row r="39" spans="1:135" ht="12" customHeight="1" x14ac:dyDescent="0.15">
      <c r="A39" s="24"/>
      <c r="B39" s="222"/>
      <c r="C39" s="222"/>
      <c r="D39" s="17"/>
      <c r="E39" s="43" t="s">
        <v>22</v>
      </c>
      <c r="F39" s="43"/>
      <c r="G39" s="43"/>
      <c r="H39" s="43"/>
      <c r="I39" s="43"/>
      <c r="J39" s="43"/>
      <c r="K39" s="589">
        <v>13</v>
      </c>
      <c r="L39" s="589"/>
      <c r="M39" s="589"/>
      <c r="N39" s="43" t="s">
        <v>185</v>
      </c>
      <c r="O39" s="586">
        <v>1.327E-4</v>
      </c>
      <c r="P39" s="586"/>
      <c r="Q39" s="586"/>
      <c r="R39" s="586"/>
      <c r="S39" s="586"/>
      <c r="T39" s="589">
        <v>25</v>
      </c>
      <c r="U39" s="589"/>
      <c r="V39" s="589"/>
      <c r="W39" s="43" t="s">
        <v>185</v>
      </c>
      <c r="X39" s="586">
        <v>4.8999999999999998E-4</v>
      </c>
      <c r="Y39" s="586"/>
      <c r="Z39" s="586"/>
      <c r="AA39" s="586"/>
      <c r="AB39" s="586"/>
      <c r="AC39" s="589">
        <v>50</v>
      </c>
      <c r="AD39" s="589"/>
      <c r="AE39" s="589"/>
      <c r="AF39" s="43" t="s">
        <v>185</v>
      </c>
      <c r="AG39" s="586">
        <v>1.9599999999999999E-3</v>
      </c>
      <c r="AH39" s="586"/>
      <c r="AI39" s="586"/>
      <c r="AJ39" s="586"/>
      <c r="AK39" s="587"/>
      <c r="AL39" s="24"/>
      <c r="AM39" s="222"/>
      <c r="AN39" s="222"/>
      <c r="AO39" s="17"/>
      <c r="AP39" s="43" t="s">
        <v>22</v>
      </c>
      <c r="AQ39" s="43"/>
      <c r="AR39" s="43"/>
      <c r="AS39" s="43"/>
      <c r="AT39" s="43"/>
      <c r="AU39" s="43"/>
      <c r="AV39" s="589">
        <v>13</v>
      </c>
      <c r="AW39" s="589"/>
      <c r="AX39" s="589"/>
      <c r="AY39" s="43" t="s">
        <v>185</v>
      </c>
      <c r="AZ39" s="586">
        <v>1.327E-4</v>
      </c>
      <c r="BA39" s="586"/>
      <c r="BB39" s="586"/>
      <c r="BC39" s="586"/>
      <c r="BD39" s="586"/>
      <c r="BE39" s="589">
        <v>25</v>
      </c>
      <c r="BF39" s="589"/>
      <c r="BG39" s="589"/>
      <c r="BH39" s="43" t="s">
        <v>185</v>
      </c>
      <c r="BI39" s="586">
        <v>4.8999999999999998E-4</v>
      </c>
      <c r="BJ39" s="586"/>
      <c r="BK39" s="586"/>
      <c r="BL39" s="586"/>
      <c r="BM39" s="586"/>
      <c r="BN39" s="589">
        <v>50</v>
      </c>
      <c r="BO39" s="589"/>
      <c r="BP39" s="589"/>
      <c r="BQ39" s="43" t="s">
        <v>185</v>
      </c>
      <c r="BR39" s="586">
        <v>1.9599999999999999E-3</v>
      </c>
      <c r="BS39" s="586"/>
      <c r="BT39" s="586"/>
      <c r="BU39" s="586"/>
      <c r="BV39" s="587"/>
      <c r="BW39" s="24"/>
      <c r="BX39" s="222"/>
      <c r="BY39" s="222"/>
      <c r="BZ39" s="17"/>
      <c r="CA39" s="43" t="s">
        <v>22</v>
      </c>
      <c r="CB39" s="43"/>
      <c r="CC39" s="43"/>
      <c r="CD39" s="43"/>
      <c r="CE39" s="43"/>
      <c r="CF39" s="43"/>
      <c r="CG39" s="589">
        <v>13</v>
      </c>
      <c r="CH39" s="589"/>
      <c r="CI39" s="589"/>
      <c r="CJ39" s="43" t="s">
        <v>185</v>
      </c>
      <c r="CK39" s="586">
        <v>1.327E-4</v>
      </c>
      <c r="CL39" s="586"/>
      <c r="CM39" s="586"/>
      <c r="CN39" s="586"/>
      <c r="CO39" s="586"/>
      <c r="CP39" s="589">
        <v>25</v>
      </c>
      <c r="CQ39" s="589"/>
      <c r="CR39" s="589"/>
      <c r="CS39" s="43" t="s">
        <v>185</v>
      </c>
      <c r="CT39" s="586">
        <v>4.8999999999999998E-4</v>
      </c>
      <c r="CU39" s="586"/>
      <c r="CV39" s="586"/>
      <c r="CW39" s="586"/>
      <c r="CX39" s="586"/>
      <c r="CY39" s="589">
        <v>50</v>
      </c>
      <c r="CZ39" s="589"/>
      <c r="DA39" s="589"/>
      <c r="DB39" s="43" t="s">
        <v>185</v>
      </c>
      <c r="DC39" s="586">
        <v>1.9599999999999999E-3</v>
      </c>
      <c r="DD39" s="586"/>
      <c r="DE39" s="586"/>
      <c r="DF39" s="586"/>
      <c r="DG39" s="587"/>
      <c r="DH39" s="215"/>
      <c r="DI39" s="215"/>
      <c r="DJ39" s="215"/>
      <c r="DK39" s="215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2"/>
      <c r="DW39" s="105">
        <v>30</v>
      </c>
      <c r="DX39" s="104">
        <v>15.5</v>
      </c>
      <c r="DY39" s="102">
        <v>47.099999999999959</v>
      </c>
      <c r="DZ39" s="293">
        <v>0.21</v>
      </c>
      <c r="EA39" s="102">
        <v>3.4</v>
      </c>
      <c r="EB39" s="106"/>
      <c r="EC39" s="106"/>
      <c r="ED39" s="106"/>
      <c r="EE39" s="102"/>
    </row>
    <row r="40" spans="1:135" ht="10.5" customHeight="1" x14ac:dyDescent="0.15">
      <c r="A40" s="39"/>
      <c r="B40" s="8"/>
      <c r="C40" s="8"/>
      <c r="D40" s="9"/>
      <c r="E40" s="123"/>
      <c r="F40" s="218"/>
      <c r="G40" s="218"/>
      <c r="H40" s="124"/>
      <c r="I40" s="124"/>
      <c r="J40" s="124"/>
      <c r="K40" s="588">
        <v>20</v>
      </c>
      <c r="L40" s="588"/>
      <c r="M40" s="588"/>
      <c r="N40" s="124" t="s">
        <v>185</v>
      </c>
      <c r="O40" s="585">
        <v>3.1399999999999999E-4</v>
      </c>
      <c r="P40" s="585"/>
      <c r="Q40" s="585"/>
      <c r="R40" s="585"/>
      <c r="S40" s="585"/>
      <c r="T40" s="588">
        <v>40</v>
      </c>
      <c r="U40" s="588"/>
      <c r="V40" s="588"/>
      <c r="W40" s="124" t="s">
        <v>185</v>
      </c>
      <c r="X40" s="585">
        <v>1.2600000000000001E-3</v>
      </c>
      <c r="Y40" s="585"/>
      <c r="Z40" s="585"/>
      <c r="AA40" s="585"/>
      <c r="AB40" s="585"/>
      <c r="AC40" s="139"/>
      <c r="AD40" s="139"/>
      <c r="AE40" s="139"/>
      <c r="AF40" s="139"/>
      <c r="AG40" s="139"/>
      <c r="AH40" s="139"/>
      <c r="AI40" s="139"/>
      <c r="AJ40" s="139"/>
      <c r="AK40" s="140"/>
      <c r="AL40" s="39"/>
      <c r="AM40" s="8"/>
      <c r="AN40" s="8"/>
      <c r="AO40" s="9"/>
      <c r="AP40" s="123"/>
      <c r="AQ40" s="218"/>
      <c r="AR40" s="218"/>
      <c r="AS40" s="124"/>
      <c r="AT40" s="124"/>
      <c r="AU40" s="124"/>
      <c r="AV40" s="588">
        <v>20</v>
      </c>
      <c r="AW40" s="588"/>
      <c r="AX40" s="588"/>
      <c r="AY40" s="124" t="s">
        <v>185</v>
      </c>
      <c r="AZ40" s="585">
        <v>3.1399999999999999E-4</v>
      </c>
      <c r="BA40" s="585"/>
      <c r="BB40" s="585"/>
      <c r="BC40" s="585"/>
      <c r="BD40" s="585"/>
      <c r="BE40" s="588">
        <v>40</v>
      </c>
      <c r="BF40" s="588"/>
      <c r="BG40" s="588"/>
      <c r="BH40" s="124" t="s">
        <v>185</v>
      </c>
      <c r="BI40" s="585">
        <v>1.2600000000000001E-3</v>
      </c>
      <c r="BJ40" s="585"/>
      <c r="BK40" s="585"/>
      <c r="BL40" s="585"/>
      <c r="BM40" s="585"/>
      <c r="BN40" s="139"/>
      <c r="BO40" s="139"/>
      <c r="BP40" s="139"/>
      <c r="BQ40" s="139"/>
      <c r="BR40" s="139"/>
      <c r="BS40" s="139"/>
      <c r="BT40" s="139"/>
      <c r="BU40" s="139"/>
      <c r="BV40" s="140"/>
      <c r="BW40" s="39"/>
      <c r="BX40" s="8"/>
      <c r="BY40" s="8"/>
      <c r="BZ40" s="9"/>
      <c r="CA40" s="123"/>
      <c r="CB40" s="218"/>
      <c r="CC40" s="218"/>
      <c r="CD40" s="124"/>
      <c r="CE40" s="124"/>
      <c r="CF40" s="124"/>
      <c r="CG40" s="588">
        <v>20</v>
      </c>
      <c r="CH40" s="588"/>
      <c r="CI40" s="588"/>
      <c r="CJ40" s="124" t="s">
        <v>185</v>
      </c>
      <c r="CK40" s="585">
        <v>3.1399999999999999E-4</v>
      </c>
      <c r="CL40" s="585"/>
      <c r="CM40" s="585"/>
      <c r="CN40" s="585"/>
      <c r="CO40" s="585"/>
      <c r="CP40" s="588">
        <v>40</v>
      </c>
      <c r="CQ40" s="588"/>
      <c r="CR40" s="588"/>
      <c r="CS40" s="124" t="s">
        <v>185</v>
      </c>
      <c r="CT40" s="585">
        <v>1.2600000000000001E-3</v>
      </c>
      <c r="CU40" s="585"/>
      <c r="CV40" s="585"/>
      <c r="CW40" s="585"/>
      <c r="CX40" s="585"/>
      <c r="CY40" s="139"/>
      <c r="CZ40" s="139"/>
      <c r="DA40" s="139"/>
      <c r="DB40" s="139"/>
      <c r="DC40" s="139"/>
      <c r="DD40" s="139"/>
      <c r="DE40" s="139"/>
      <c r="DF40" s="139"/>
      <c r="DG40" s="140"/>
      <c r="DH40" s="225"/>
      <c r="DI40" s="225"/>
      <c r="DJ40" s="225"/>
      <c r="DK40" s="225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2"/>
      <c r="DW40" s="105">
        <v>35</v>
      </c>
      <c r="DX40" s="104">
        <v>16</v>
      </c>
      <c r="DY40" s="102">
        <v>46.999999999999957</v>
      </c>
      <c r="DZ40" s="293">
        <v>0.2</v>
      </c>
      <c r="EA40" s="102">
        <v>3.5</v>
      </c>
      <c r="EB40" s="106"/>
      <c r="EC40" s="106"/>
      <c r="ED40" s="106"/>
      <c r="EE40" s="102"/>
    </row>
    <row r="41" spans="1:135" x14ac:dyDescent="0.15">
      <c r="A41" s="4" t="s">
        <v>107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618" t="str">
        <f>IF(AND(A55=1,B42=0),"口径75mm以上の残水頭を引継ぐ","")</f>
        <v/>
      </c>
      <c r="R41" s="618"/>
      <c r="S41" s="618"/>
      <c r="T41" s="618"/>
      <c r="U41" s="618"/>
      <c r="V41" s="618"/>
      <c r="W41" s="618"/>
      <c r="X41" s="618"/>
      <c r="Y41" s="618"/>
      <c r="Z41" s="618"/>
      <c r="AA41" s="618"/>
      <c r="AB41" s="618"/>
      <c r="AC41" s="618"/>
      <c r="AD41" s="618"/>
      <c r="AE41" s="618"/>
      <c r="AF41" s="618"/>
      <c r="AG41" s="618"/>
      <c r="AH41" s="618"/>
      <c r="AI41" s="618"/>
      <c r="AJ41" s="618"/>
      <c r="AK41" s="619"/>
      <c r="AL41" s="632" t="str">
        <f>BF19</f>
        <v/>
      </c>
      <c r="AM41" s="633"/>
      <c r="AN41" s="633"/>
      <c r="AO41" s="633"/>
      <c r="AP41" s="633"/>
      <c r="AQ41" s="633"/>
      <c r="AR41" s="633"/>
      <c r="AS41" s="633"/>
      <c r="AT41" s="633"/>
      <c r="AU41" s="633"/>
      <c r="AV41" s="633"/>
      <c r="AW41" s="633"/>
      <c r="AX41" s="633"/>
      <c r="AY41" s="633"/>
      <c r="AZ41" s="633"/>
      <c r="BA41" s="633"/>
      <c r="BB41" s="633"/>
      <c r="BC41" s="633"/>
      <c r="BD41" s="633"/>
      <c r="BE41" s="633"/>
      <c r="BF41" s="633"/>
      <c r="BG41" s="633"/>
      <c r="BH41" s="633"/>
      <c r="BI41" s="633"/>
      <c r="BJ41" s="633"/>
      <c r="BK41" s="633"/>
      <c r="BL41" s="633"/>
      <c r="BM41" s="633"/>
      <c r="BN41" s="633"/>
      <c r="BO41" s="633"/>
      <c r="BP41" s="633"/>
      <c r="BQ41" s="633"/>
      <c r="BR41" s="633"/>
      <c r="BS41" s="633"/>
      <c r="BT41" s="633"/>
      <c r="BU41" s="633"/>
      <c r="BV41" s="634"/>
      <c r="BW41" s="639" t="str">
        <f>CQ19</f>
        <v/>
      </c>
      <c r="BX41" s="640"/>
      <c r="BY41" s="640"/>
      <c r="BZ41" s="640"/>
      <c r="CA41" s="640"/>
      <c r="CB41" s="640"/>
      <c r="CC41" s="640"/>
      <c r="CD41" s="640"/>
      <c r="CE41" s="640"/>
      <c r="CF41" s="640"/>
      <c r="CG41" s="640"/>
      <c r="CH41" s="640"/>
      <c r="CI41" s="640"/>
      <c r="CJ41" s="640"/>
      <c r="CK41" s="640"/>
      <c r="CL41" s="640"/>
      <c r="CM41" s="640"/>
      <c r="CN41" s="640"/>
      <c r="CO41" s="640"/>
      <c r="CP41" s="640"/>
      <c r="CQ41" s="640"/>
      <c r="CR41" s="640"/>
      <c r="CS41" s="640"/>
      <c r="CT41" s="640"/>
      <c r="CU41" s="640"/>
      <c r="CV41" s="640"/>
      <c r="CW41" s="640"/>
      <c r="CX41" s="640"/>
      <c r="CY41" s="640"/>
      <c r="CZ41" s="640"/>
      <c r="DA41" s="640"/>
      <c r="DB41" s="640"/>
      <c r="DC41" s="640"/>
      <c r="DD41" s="640"/>
      <c r="DE41" s="640"/>
      <c r="DF41" s="640"/>
      <c r="DG41" s="641"/>
      <c r="DH41" s="195"/>
      <c r="DI41" s="195"/>
      <c r="DJ41" s="195"/>
      <c r="DK41" s="195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2"/>
      <c r="DW41" s="105">
        <v>40</v>
      </c>
      <c r="DX41" s="104">
        <v>16.5</v>
      </c>
      <c r="DY41" s="102">
        <v>46.899999999999956</v>
      </c>
      <c r="DZ41" s="293">
        <v>0.19</v>
      </c>
      <c r="EA41" s="102">
        <v>3.6</v>
      </c>
      <c r="EB41" s="106"/>
      <c r="EC41" s="106"/>
      <c r="ED41" s="106"/>
      <c r="EE41" s="102"/>
    </row>
    <row r="42" spans="1:135" ht="18.75" x14ac:dyDescent="0.15">
      <c r="A42" s="39"/>
      <c r="B42" s="490"/>
      <c r="C42" s="490"/>
      <c r="D42" s="490"/>
      <c r="E42" s="490"/>
      <c r="F42" s="138"/>
      <c r="G42" s="141" t="s">
        <v>279</v>
      </c>
      <c r="H42" s="8"/>
      <c r="I42" s="298" t="s">
        <v>280</v>
      </c>
      <c r="J42" s="142"/>
      <c r="K42" s="138"/>
      <c r="L42" s="8"/>
      <c r="M42" s="8"/>
      <c r="N42" s="8"/>
      <c r="O42" s="203"/>
      <c r="P42" s="621">
        <f>IF(A55=1,ROUND(B42*95,1),0)</f>
        <v>0</v>
      </c>
      <c r="Q42" s="621"/>
      <c r="R42" s="621"/>
      <c r="S42" s="621"/>
      <c r="T42" s="200" t="str">
        <f>IF(AND(B42&gt;0,A55=1),"ｍ：設計水頭","")</f>
        <v/>
      </c>
      <c r="U42" s="138"/>
      <c r="V42" s="138"/>
      <c r="W42" s="138"/>
      <c r="X42" s="8"/>
      <c r="Y42" s="8"/>
      <c r="Z42" s="247"/>
      <c r="AA42" s="247"/>
      <c r="AB42" s="247"/>
      <c r="AC42" s="247"/>
      <c r="AD42" s="138"/>
      <c r="AE42" s="141"/>
      <c r="AF42" s="141"/>
      <c r="AG42" s="138"/>
      <c r="AH42" s="8"/>
      <c r="AI42" s="8"/>
      <c r="AJ42" s="8"/>
      <c r="AK42" s="16"/>
      <c r="AL42" s="635"/>
      <c r="AM42" s="636"/>
      <c r="AN42" s="636"/>
      <c r="AO42" s="636"/>
      <c r="AP42" s="636"/>
      <c r="AQ42" s="636"/>
      <c r="AR42" s="636"/>
      <c r="AS42" s="636"/>
      <c r="AT42" s="636"/>
      <c r="AU42" s="636"/>
      <c r="AV42" s="636"/>
      <c r="AW42" s="636"/>
      <c r="AX42" s="636"/>
      <c r="AY42" s="636"/>
      <c r="AZ42" s="636"/>
      <c r="BA42" s="636"/>
      <c r="BB42" s="636"/>
      <c r="BC42" s="636"/>
      <c r="BD42" s="636"/>
      <c r="BE42" s="636"/>
      <c r="BF42" s="636"/>
      <c r="BG42" s="636"/>
      <c r="BH42" s="636"/>
      <c r="BI42" s="636"/>
      <c r="BJ42" s="636"/>
      <c r="BK42" s="636"/>
      <c r="BL42" s="636"/>
      <c r="BM42" s="636"/>
      <c r="BN42" s="636"/>
      <c r="BO42" s="636"/>
      <c r="BP42" s="636"/>
      <c r="BQ42" s="636"/>
      <c r="BR42" s="636"/>
      <c r="BS42" s="636"/>
      <c r="BT42" s="636"/>
      <c r="BU42" s="636"/>
      <c r="BV42" s="637"/>
      <c r="BW42" s="642"/>
      <c r="BX42" s="643"/>
      <c r="BY42" s="643"/>
      <c r="BZ42" s="643"/>
      <c r="CA42" s="643"/>
      <c r="CB42" s="643"/>
      <c r="CC42" s="643"/>
      <c r="CD42" s="643"/>
      <c r="CE42" s="643"/>
      <c r="CF42" s="643"/>
      <c r="CG42" s="643"/>
      <c r="CH42" s="643"/>
      <c r="CI42" s="643"/>
      <c r="CJ42" s="643"/>
      <c r="CK42" s="643"/>
      <c r="CL42" s="643"/>
      <c r="CM42" s="643"/>
      <c r="CN42" s="643"/>
      <c r="CO42" s="643"/>
      <c r="CP42" s="643"/>
      <c r="CQ42" s="643"/>
      <c r="CR42" s="643"/>
      <c r="CS42" s="643"/>
      <c r="CT42" s="643"/>
      <c r="CU42" s="643"/>
      <c r="CV42" s="643"/>
      <c r="CW42" s="643"/>
      <c r="CX42" s="643"/>
      <c r="CY42" s="643"/>
      <c r="CZ42" s="643"/>
      <c r="DA42" s="643"/>
      <c r="DB42" s="643"/>
      <c r="DC42" s="643"/>
      <c r="DD42" s="643"/>
      <c r="DE42" s="643"/>
      <c r="DF42" s="643"/>
      <c r="DG42" s="644"/>
      <c r="DH42" s="222"/>
      <c r="DI42" s="222"/>
      <c r="DJ42" s="222"/>
      <c r="DK42" s="222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2"/>
      <c r="DW42" s="105">
        <v>45</v>
      </c>
      <c r="DX42" s="104">
        <v>17</v>
      </c>
      <c r="DY42" s="102">
        <v>46.799999999999955</v>
      </c>
      <c r="DZ42" s="293">
        <v>0.18</v>
      </c>
      <c r="EA42" s="102">
        <v>3.7</v>
      </c>
      <c r="EB42" s="106"/>
      <c r="EC42" s="106"/>
      <c r="ED42" s="106"/>
      <c r="EE42" s="102"/>
    </row>
    <row r="43" spans="1:135" x14ac:dyDescent="0.15">
      <c r="A43" s="24" t="s">
        <v>106</v>
      </c>
      <c r="B43" s="222"/>
      <c r="C43" s="222"/>
      <c r="D43" s="222"/>
      <c r="E43" s="222"/>
      <c r="F43" s="222"/>
      <c r="G43" s="222"/>
      <c r="H43" s="299" t="str">
        <f>IF(A55&lt;&gt;1,"このページは現在計算していません。","")</f>
        <v>このページは現在計算していません。</v>
      </c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6"/>
      <c r="AK43" s="7"/>
      <c r="AL43" s="24" t="s">
        <v>106</v>
      </c>
      <c r="AM43" s="222"/>
      <c r="AN43" s="222"/>
      <c r="AO43" s="222"/>
      <c r="AP43" s="222"/>
      <c r="AQ43" s="222"/>
      <c r="AR43" s="222"/>
      <c r="AS43" s="299" t="str">
        <f>IF(AL55&lt;&gt;1,"このページは現在計算していません。","")</f>
        <v>このページは現在計算していません。</v>
      </c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22"/>
      <c r="BV43" s="7"/>
      <c r="BW43" s="24" t="s">
        <v>106</v>
      </c>
      <c r="BX43" s="222"/>
      <c r="BY43" s="222"/>
      <c r="BZ43" s="222"/>
      <c r="CA43" s="222"/>
      <c r="CB43" s="222"/>
      <c r="CC43" s="222"/>
      <c r="CD43" s="299" t="str">
        <f>IF(BW55&lt;&gt;1,"このページは現在計算していません。","")</f>
        <v>このページは現在計算していません。</v>
      </c>
      <c r="CE43" s="297"/>
      <c r="CF43" s="297"/>
      <c r="CG43" s="297"/>
      <c r="CH43" s="297"/>
      <c r="CI43" s="297"/>
      <c r="CJ43" s="297"/>
      <c r="CK43" s="297"/>
      <c r="CL43" s="297"/>
      <c r="CM43" s="297"/>
      <c r="CN43" s="297"/>
      <c r="CO43" s="297"/>
      <c r="CP43" s="297"/>
      <c r="CQ43" s="297"/>
      <c r="CR43" s="297"/>
      <c r="CS43" s="297"/>
      <c r="CT43" s="297"/>
      <c r="CU43" s="297"/>
      <c r="CV43" s="297"/>
      <c r="CW43" s="297"/>
      <c r="CX43" s="297"/>
      <c r="CY43" s="297"/>
      <c r="CZ43" s="297"/>
      <c r="DA43" s="297"/>
      <c r="DB43" s="297"/>
      <c r="DC43" s="297"/>
      <c r="DD43" s="297"/>
      <c r="DE43" s="297"/>
      <c r="DF43" s="222"/>
      <c r="DG43" s="7"/>
      <c r="DH43" s="222"/>
      <c r="DI43" s="222"/>
      <c r="DJ43" s="222"/>
      <c r="DK43" s="222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2"/>
      <c r="DW43" s="109">
        <v>50</v>
      </c>
      <c r="DX43" s="104">
        <v>17.5</v>
      </c>
      <c r="DY43" s="106">
        <v>46.699999999999953</v>
      </c>
      <c r="DZ43" s="294">
        <v>0.17</v>
      </c>
      <c r="EA43" s="102">
        <v>3.8</v>
      </c>
      <c r="EB43" s="106"/>
      <c r="EC43" s="106"/>
      <c r="ED43" s="106"/>
      <c r="EE43" s="102"/>
    </row>
    <row r="44" spans="1:135" x14ac:dyDescent="0.15">
      <c r="A44" s="24"/>
      <c r="B44" s="110" t="s">
        <v>57</v>
      </c>
      <c r="C44" s="110"/>
      <c r="D44" s="110"/>
      <c r="E44" s="110"/>
      <c r="F44" s="110"/>
      <c r="G44" s="106"/>
      <c r="H44" s="110" t="s">
        <v>62</v>
      </c>
      <c r="I44" s="110"/>
      <c r="J44" s="110"/>
      <c r="K44" s="110"/>
      <c r="L44" s="110"/>
      <c r="M44" s="110"/>
      <c r="N44" s="110" t="s">
        <v>105</v>
      </c>
      <c r="O44" s="110"/>
      <c r="P44" s="110"/>
      <c r="Q44" s="110"/>
      <c r="R44" s="110"/>
      <c r="S44" s="110"/>
      <c r="T44" s="110" t="s">
        <v>104</v>
      </c>
      <c r="U44" s="110"/>
      <c r="V44" s="110"/>
      <c r="W44" s="110"/>
      <c r="X44" s="110"/>
      <c r="Y44" s="106"/>
      <c r="Z44" s="110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7"/>
      <c r="AL44" s="24"/>
      <c r="AM44" s="110" t="s">
        <v>57</v>
      </c>
      <c r="AN44" s="110"/>
      <c r="AO44" s="110"/>
      <c r="AP44" s="110"/>
      <c r="AQ44" s="110"/>
      <c r="AR44" s="266"/>
      <c r="AS44" s="267"/>
      <c r="AT44" s="267"/>
      <c r="AU44" s="267"/>
      <c r="AV44" s="267"/>
      <c r="AW44" s="267"/>
      <c r="AX44" s="110"/>
      <c r="AY44" s="110" t="s">
        <v>105</v>
      </c>
      <c r="AZ44" s="110"/>
      <c r="BA44" s="110"/>
      <c r="BB44" s="110"/>
      <c r="BC44" s="110"/>
      <c r="BD44" s="110"/>
      <c r="BE44" s="110" t="s">
        <v>104</v>
      </c>
      <c r="BF44" s="110"/>
      <c r="BG44" s="110"/>
      <c r="BH44" s="110"/>
      <c r="BI44" s="110"/>
      <c r="BJ44" s="106"/>
      <c r="BK44" s="110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7"/>
      <c r="BW44" s="24"/>
      <c r="BX44" s="110" t="s">
        <v>57</v>
      </c>
      <c r="BY44" s="110"/>
      <c r="BZ44" s="110"/>
      <c r="CA44" s="110"/>
      <c r="CB44" s="110"/>
      <c r="CC44" s="266"/>
      <c r="CD44" s="267"/>
      <c r="CE44" s="267"/>
      <c r="CF44" s="267"/>
      <c r="CG44" s="267"/>
      <c r="CH44" s="267"/>
      <c r="CI44" s="110"/>
      <c r="CJ44" s="110" t="s">
        <v>105</v>
      </c>
      <c r="CK44" s="110"/>
      <c r="CL44" s="110"/>
      <c r="CM44" s="110"/>
      <c r="CN44" s="110"/>
      <c r="CO44" s="110"/>
      <c r="CP44" s="110" t="s">
        <v>104</v>
      </c>
      <c r="CQ44" s="110"/>
      <c r="CR44" s="110"/>
      <c r="CS44" s="110"/>
      <c r="CT44" s="110"/>
      <c r="CU44" s="106"/>
      <c r="CV44" s="110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7"/>
      <c r="DH44" s="222"/>
      <c r="DI44" s="222"/>
      <c r="DJ44" s="222"/>
      <c r="DK44" s="222"/>
      <c r="DL44" s="106"/>
      <c r="DM44" s="106"/>
      <c r="DN44" s="106"/>
      <c r="DO44" s="106"/>
      <c r="DP44" s="106"/>
      <c r="DQ44" s="106"/>
      <c r="DR44" s="106"/>
      <c r="DS44" s="106"/>
      <c r="DT44" s="106"/>
      <c r="DU44" s="106"/>
      <c r="DV44" s="102"/>
      <c r="DW44" s="105">
        <v>55</v>
      </c>
      <c r="DX44" s="104">
        <v>18</v>
      </c>
      <c r="DY44" s="102">
        <v>46.599999999999952</v>
      </c>
      <c r="DZ44" s="293">
        <v>0.16</v>
      </c>
      <c r="EA44" s="102">
        <v>3.9</v>
      </c>
      <c r="EB44" s="106"/>
      <c r="EC44" s="106"/>
      <c r="ED44" s="106"/>
      <c r="EE44" s="102"/>
    </row>
    <row r="45" spans="1:135" ht="18.75" x14ac:dyDescent="0.15">
      <c r="A45" s="24"/>
      <c r="B45" s="631">
        <f>IF(AND(A55=1,B42&gt;0),P42,口径75mm以上!CT48)</f>
        <v>0</v>
      </c>
      <c r="C45" s="631"/>
      <c r="D45" s="631"/>
      <c r="E45" s="631"/>
      <c r="F45" s="129" t="s">
        <v>187</v>
      </c>
      <c r="G45" s="129" t="s">
        <v>188</v>
      </c>
      <c r="H45" s="620"/>
      <c r="I45" s="620"/>
      <c r="J45" s="620"/>
      <c r="K45" s="620"/>
      <c r="L45" s="129" t="s">
        <v>187</v>
      </c>
      <c r="M45" s="129" t="s">
        <v>189</v>
      </c>
      <c r="N45" s="620"/>
      <c r="O45" s="620"/>
      <c r="P45" s="620"/>
      <c r="Q45" s="620"/>
      <c r="R45" s="129" t="s">
        <v>187</v>
      </c>
      <c r="S45" s="129" t="s">
        <v>189</v>
      </c>
      <c r="T45" s="599">
        <f>G33</f>
        <v>0</v>
      </c>
      <c r="U45" s="599"/>
      <c r="V45" s="599"/>
      <c r="W45" s="599"/>
      <c r="X45" s="129" t="s">
        <v>187</v>
      </c>
      <c r="Y45" s="129" t="s">
        <v>190</v>
      </c>
      <c r="Z45" s="600">
        <f>IF(A55=1,ROUND(B45+H45-N45-T45,1),B45)</f>
        <v>0</v>
      </c>
      <c r="AA45" s="600"/>
      <c r="AB45" s="600"/>
      <c r="AC45" s="600"/>
      <c r="AD45" s="129" t="s">
        <v>187</v>
      </c>
      <c r="AE45" s="222"/>
      <c r="AF45" s="198" t="s">
        <v>100</v>
      </c>
      <c r="AG45" s="222" t="s">
        <v>99</v>
      </c>
      <c r="AH45" s="222"/>
      <c r="AI45" s="222"/>
      <c r="AJ45" s="222"/>
      <c r="AK45" s="7"/>
      <c r="AL45" s="24"/>
      <c r="AM45" s="631">
        <f>Z45</f>
        <v>0</v>
      </c>
      <c r="AN45" s="631"/>
      <c r="AO45" s="631"/>
      <c r="AP45" s="631"/>
      <c r="AQ45" s="129" t="s">
        <v>32</v>
      </c>
      <c r="AR45" s="268"/>
      <c r="AS45" s="638"/>
      <c r="AT45" s="638"/>
      <c r="AU45" s="638"/>
      <c r="AV45" s="638"/>
      <c r="AW45" s="268"/>
      <c r="AX45" s="129" t="s">
        <v>189</v>
      </c>
      <c r="AY45" s="620"/>
      <c r="AZ45" s="620"/>
      <c r="BA45" s="620"/>
      <c r="BB45" s="620"/>
      <c r="BC45" s="129" t="s">
        <v>32</v>
      </c>
      <c r="BD45" s="129" t="s">
        <v>189</v>
      </c>
      <c r="BE45" s="599">
        <f>AR33</f>
        <v>0</v>
      </c>
      <c r="BF45" s="599"/>
      <c r="BG45" s="599"/>
      <c r="BH45" s="599"/>
      <c r="BI45" s="129" t="s">
        <v>32</v>
      </c>
      <c r="BJ45" s="129" t="s">
        <v>23</v>
      </c>
      <c r="BK45" s="600">
        <f>IF(AL55=1,ROUND(AM45+AS45-AY45-BE45,1),AM45)</f>
        <v>0</v>
      </c>
      <c r="BL45" s="600"/>
      <c r="BM45" s="600"/>
      <c r="BN45" s="600"/>
      <c r="BO45" s="129" t="s">
        <v>32</v>
      </c>
      <c r="BP45" s="222"/>
      <c r="BQ45" s="198" t="s">
        <v>100</v>
      </c>
      <c r="BR45" s="222" t="s">
        <v>99</v>
      </c>
      <c r="BS45" s="222"/>
      <c r="BT45" s="222"/>
      <c r="BU45" s="222"/>
      <c r="BV45" s="7"/>
      <c r="BW45" s="24"/>
      <c r="BX45" s="631">
        <f>BK45</f>
        <v>0</v>
      </c>
      <c r="BY45" s="631"/>
      <c r="BZ45" s="631"/>
      <c r="CA45" s="631"/>
      <c r="CB45" s="129" t="s">
        <v>32</v>
      </c>
      <c r="CC45" s="268"/>
      <c r="CD45" s="638"/>
      <c r="CE45" s="638"/>
      <c r="CF45" s="638"/>
      <c r="CG45" s="638"/>
      <c r="CH45" s="268"/>
      <c r="CI45" s="129" t="s">
        <v>189</v>
      </c>
      <c r="CJ45" s="620"/>
      <c r="CK45" s="620"/>
      <c r="CL45" s="620"/>
      <c r="CM45" s="620"/>
      <c r="CN45" s="129" t="s">
        <v>32</v>
      </c>
      <c r="CO45" s="129" t="s">
        <v>189</v>
      </c>
      <c r="CP45" s="599">
        <f>CC33</f>
        <v>0</v>
      </c>
      <c r="CQ45" s="599"/>
      <c r="CR45" s="599"/>
      <c r="CS45" s="599"/>
      <c r="CT45" s="129" t="s">
        <v>32</v>
      </c>
      <c r="CU45" s="129" t="s">
        <v>23</v>
      </c>
      <c r="CV45" s="600">
        <f>IF(BW55=1,ROUND(BX45+CD45-CJ45-CP45,1),BX45)</f>
        <v>0</v>
      </c>
      <c r="CW45" s="600"/>
      <c r="CX45" s="600"/>
      <c r="CY45" s="600"/>
      <c r="CZ45" s="129" t="s">
        <v>32</v>
      </c>
      <c r="DA45" s="222"/>
      <c r="DB45" s="198" t="s">
        <v>100</v>
      </c>
      <c r="DC45" s="222" t="s">
        <v>99</v>
      </c>
      <c r="DD45" s="222"/>
      <c r="DE45" s="222"/>
      <c r="DF45" s="222"/>
      <c r="DG45" s="7"/>
      <c r="DH45" s="222"/>
      <c r="DI45" s="222"/>
      <c r="DJ45" s="222"/>
      <c r="DK45" s="222"/>
      <c r="DL45" s="106"/>
      <c r="DM45" s="106"/>
      <c r="DN45" s="106"/>
      <c r="DO45" s="106"/>
      <c r="DP45" s="106"/>
      <c r="DQ45" s="106"/>
      <c r="DR45" s="106"/>
      <c r="DS45" s="106"/>
      <c r="DT45" s="106"/>
      <c r="DU45" s="106"/>
      <c r="DV45" s="102"/>
      <c r="DW45" s="105">
        <v>60</v>
      </c>
      <c r="DX45" s="104">
        <v>18.5</v>
      </c>
      <c r="DY45" s="102">
        <v>46.49999999999995</v>
      </c>
      <c r="DZ45" s="293">
        <v>0.15</v>
      </c>
      <c r="EA45" s="102">
        <v>4</v>
      </c>
      <c r="EB45" s="106"/>
      <c r="EC45" s="106"/>
      <c r="ED45" s="106"/>
      <c r="EE45" s="102"/>
    </row>
    <row r="46" spans="1:135" ht="3" customHeight="1" x14ac:dyDescent="0.15">
      <c r="A46" s="143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44"/>
      <c r="AL46" s="143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44"/>
      <c r="BW46" s="143"/>
      <c r="BX46" s="138"/>
      <c r="BY46" s="138"/>
      <c r="BZ46" s="138"/>
      <c r="CA46" s="138"/>
      <c r="CB46" s="138"/>
      <c r="CC46" s="138"/>
      <c r="CD46" s="138"/>
      <c r="CE46" s="138"/>
      <c r="CF46" s="138"/>
      <c r="CG46" s="138"/>
      <c r="CH46" s="138"/>
      <c r="CI46" s="138"/>
      <c r="CJ46" s="138"/>
      <c r="CK46" s="138"/>
      <c r="CL46" s="138"/>
      <c r="CM46" s="138"/>
      <c r="CN46" s="138"/>
      <c r="CO46" s="138"/>
      <c r="CP46" s="138"/>
      <c r="CQ46" s="138"/>
      <c r="CR46" s="138"/>
      <c r="CS46" s="138"/>
      <c r="CT46" s="138"/>
      <c r="CU46" s="138"/>
      <c r="CV46" s="138"/>
      <c r="CW46" s="138"/>
      <c r="CX46" s="138"/>
      <c r="CY46" s="138"/>
      <c r="CZ46" s="138"/>
      <c r="DA46" s="138"/>
      <c r="DB46" s="138"/>
      <c r="DC46" s="138"/>
      <c r="DD46" s="138"/>
      <c r="DE46" s="138"/>
      <c r="DF46" s="138"/>
      <c r="DG46" s="144"/>
      <c r="DH46" s="106"/>
      <c r="DI46" s="106"/>
      <c r="DJ46" s="106"/>
      <c r="DK46" s="106"/>
      <c r="DL46" s="106"/>
      <c r="DM46" s="106"/>
      <c r="DN46" s="106"/>
      <c r="DO46" s="106"/>
      <c r="DP46" s="106"/>
      <c r="DQ46" s="106"/>
      <c r="DR46" s="106"/>
      <c r="DS46" s="106"/>
      <c r="DT46" s="106"/>
      <c r="DU46" s="106"/>
      <c r="DV46" s="102"/>
      <c r="DW46" s="105">
        <v>65</v>
      </c>
      <c r="DX46" s="104">
        <v>19</v>
      </c>
      <c r="DY46" s="102">
        <v>46.4</v>
      </c>
      <c r="DZ46" s="293">
        <v>0.14000000000000001</v>
      </c>
      <c r="EA46" s="102">
        <v>4.0999999999999996</v>
      </c>
      <c r="EB46" s="106"/>
      <c r="EC46" s="106"/>
      <c r="ED46" s="106"/>
      <c r="EE46" s="102"/>
    </row>
    <row r="47" spans="1:135" ht="14.25" customHeight="1" x14ac:dyDescent="0.15">
      <c r="A47" s="625"/>
      <c r="B47" s="626"/>
      <c r="C47" s="626"/>
      <c r="D47" s="626"/>
      <c r="E47" s="626"/>
      <c r="F47" s="626"/>
      <c r="G47" s="626"/>
      <c r="H47" s="626"/>
      <c r="I47" s="626"/>
      <c r="J47" s="626"/>
      <c r="K47" s="626"/>
      <c r="L47" s="626"/>
      <c r="M47" s="626"/>
      <c r="N47" s="626"/>
      <c r="O47" s="626"/>
      <c r="P47" s="626"/>
      <c r="Q47" s="626"/>
      <c r="R47" s="626"/>
      <c r="S47" s="626"/>
      <c r="T47" s="626"/>
      <c r="U47" s="626"/>
      <c r="V47" s="626"/>
      <c r="W47" s="626"/>
      <c r="X47" s="626"/>
      <c r="Y47" s="626"/>
      <c r="Z47" s="626"/>
      <c r="AA47" s="626"/>
      <c r="AB47" s="626"/>
      <c r="AC47" s="626"/>
      <c r="AD47" s="626"/>
      <c r="AE47" s="626"/>
      <c r="AF47" s="626"/>
      <c r="AG47" s="626"/>
      <c r="AH47" s="626"/>
      <c r="AI47" s="626"/>
      <c r="AJ47" s="626"/>
      <c r="AK47" s="627"/>
      <c r="AL47" s="625"/>
      <c r="AM47" s="626"/>
      <c r="AN47" s="626"/>
      <c r="AO47" s="626"/>
      <c r="AP47" s="626"/>
      <c r="AQ47" s="626"/>
      <c r="AR47" s="626"/>
      <c r="AS47" s="626"/>
      <c r="AT47" s="626"/>
      <c r="AU47" s="626"/>
      <c r="AV47" s="626"/>
      <c r="AW47" s="626"/>
      <c r="AX47" s="626"/>
      <c r="AY47" s="626"/>
      <c r="AZ47" s="626"/>
      <c r="BA47" s="626"/>
      <c r="BB47" s="626"/>
      <c r="BC47" s="626"/>
      <c r="BD47" s="626"/>
      <c r="BE47" s="626"/>
      <c r="BF47" s="626"/>
      <c r="BG47" s="626"/>
      <c r="BH47" s="626"/>
      <c r="BI47" s="626"/>
      <c r="BJ47" s="626"/>
      <c r="BK47" s="626"/>
      <c r="BL47" s="626"/>
      <c r="BM47" s="626"/>
      <c r="BN47" s="626"/>
      <c r="BO47" s="626"/>
      <c r="BP47" s="626"/>
      <c r="BQ47" s="626"/>
      <c r="BR47" s="626"/>
      <c r="BS47" s="626"/>
      <c r="BT47" s="626"/>
      <c r="BU47" s="626"/>
      <c r="BV47" s="627"/>
      <c r="BW47" s="625"/>
      <c r="BX47" s="626"/>
      <c r="BY47" s="626"/>
      <c r="BZ47" s="626"/>
      <c r="CA47" s="626"/>
      <c r="CB47" s="626"/>
      <c r="CC47" s="626"/>
      <c r="CD47" s="626"/>
      <c r="CE47" s="626"/>
      <c r="CF47" s="626"/>
      <c r="CG47" s="626"/>
      <c r="CH47" s="626"/>
      <c r="CI47" s="626"/>
      <c r="CJ47" s="626"/>
      <c r="CK47" s="626"/>
      <c r="CL47" s="626"/>
      <c r="CM47" s="626"/>
      <c r="CN47" s="626"/>
      <c r="CO47" s="626"/>
      <c r="CP47" s="626"/>
      <c r="CQ47" s="626"/>
      <c r="CR47" s="626"/>
      <c r="CS47" s="626"/>
      <c r="CT47" s="626"/>
      <c r="CU47" s="626"/>
      <c r="CV47" s="626"/>
      <c r="CW47" s="626"/>
      <c r="CX47" s="626"/>
      <c r="CY47" s="626"/>
      <c r="CZ47" s="626"/>
      <c r="DA47" s="626"/>
      <c r="DB47" s="626"/>
      <c r="DC47" s="626"/>
      <c r="DD47" s="626"/>
      <c r="DE47" s="626"/>
      <c r="DF47" s="626"/>
      <c r="DG47" s="627"/>
      <c r="DH47" s="219"/>
      <c r="DI47" s="219"/>
      <c r="DJ47" s="219"/>
      <c r="DK47" s="219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5">
        <v>70</v>
      </c>
      <c r="DX47" s="104">
        <v>19.5</v>
      </c>
      <c r="DY47" s="102">
        <v>46.3</v>
      </c>
      <c r="DZ47" s="293">
        <v>0.13</v>
      </c>
      <c r="EA47" s="102">
        <v>4.2</v>
      </c>
      <c r="EB47" s="106"/>
      <c r="EC47" s="106"/>
      <c r="ED47" s="106"/>
      <c r="EE47" s="102"/>
    </row>
    <row r="48" spans="1:135" ht="11.25" customHeight="1" x14ac:dyDescent="0.15">
      <c r="A48" s="628"/>
      <c r="B48" s="629"/>
      <c r="C48" s="629"/>
      <c r="D48" s="629"/>
      <c r="E48" s="629"/>
      <c r="F48" s="629"/>
      <c r="G48" s="629"/>
      <c r="H48" s="629"/>
      <c r="I48" s="629"/>
      <c r="J48" s="629"/>
      <c r="K48" s="629"/>
      <c r="L48" s="629"/>
      <c r="M48" s="629"/>
      <c r="N48" s="629"/>
      <c r="O48" s="629"/>
      <c r="P48" s="629"/>
      <c r="Q48" s="629"/>
      <c r="R48" s="629"/>
      <c r="S48" s="629"/>
      <c r="T48" s="629"/>
      <c r="U48" s="629"/>
      <c r="V48" s="629"/>
      <c r="W48" s="629"/>
      <c r="X48" s="629"/>
      <c r="Y48" s="629"/>
      <c r="Z48" s="629"/>
      <c r="AA48" s="629"/>
      <c r="AB48" s="629"/>
      <c r="AC48" s="629"/>
      <c r="AD48" s="629"/>
      <c r="AE48" s="629"/>
      <c r="AF48" s="629"/>
      <c r="AG48" s="629"/>
      <c r="AH48" s="629"/>
      <c r="AI48" s="629"/>
      <c r="AJ48" s="629"/>
      <c r="AK48" s="630"/>
      <c r="AL48" s="628"/>
      <c r="AM48" s="629"/>
      <c r="AN48" s="629"/>
      <c r="AO48" s="629"/>
      <c r="AP48" s="629"/>
      <c r="AQ48" s="629"/>
      <c r="AR48" s="629"/>
      <c r="AS48" s="629"/>
      <c r="AT48" s="629"/>
      <c r="AU48" s="629"/>
      <c r="AV48" s="629"/>
      <c r="AW48" s="629"/>
      <c r="AX48" s="629"/>
      <c r="AY48" s="629"/>
      <c r="AZ48" s="629"/>
      <c r="BA48" s="629"/>
      <c r="BB48" s="629"/>
      <c r="BC48" s="629"/>
      <c r="BD48" s="629"/>
      <c r="BE48" s="629"/>
      <c r="BF48" s="629"/>
      <c r="BG48" s="629"/>
      <c r="BH48" s="629"/>
      <c r="BI48" s="629"/>
      <c r="BJ48" s="629"/>
      <c r="BK48" s="629"/>
      <c r="BL48" s="629"/>
      <c r="BM48" s="629"/>
      <c r="BN48" s="629"/>
      <c r="BO48" s="629"/>
      <c r="BP48" s="629"/>
      <c r="BQ48" s="629"/>
      <c r="BR48" s="629"/>
      <c r="BS48" s="629"/>
      <c r="BT48" s="629"/>
      <c r="BU48" s="629"/>
      <c r="BV48" s="630"/>
      <c r="BW48" s="628"/>
      <c r="BX48" s="629"/>
      <c r="BY48" s="629"/>
      <c r="BZ48" s="629"/>
      <c r="CA48" s="629"/>
      <c r="CB48" s="629"/>
      <c r="CC48" s="629"/>
      <c r="CD48" s="629"/>
      <c r="CE48" s="629"/>
      <c r="CF48" s="629"/>
      <c r="CG48" s="629"/>
      <c r="CH48" s="629"/>
      <c r="CI48" s="629"/>
      <c r="CJ48" s="629"/>
      <c r="CK48" s="629"/>
      <c r="CL48" s="629"/>
      <c r="CM48" s="629"/>
      <c r="CN48" s="629"/>
      <c r="CO48" s="629"/>
      <c r="CP48" s="629"/>
      <c r="CQ48" s="629"/>
      <c r="CR48" s="629"/>
      <c r="CS48" s="629"/>
      <c r="CT48" s="629"/>
      <c r="CU48" s="629"/>
      <c r="CV48" s="629"/>
      <c r="CW48" s="629"/>
      <c r="CX48" s="629"/>
      <c r="CY48" s="629"/>
      <c r="CZ48" s="629"/>
      <c r="DA48" s="629"/>
      <c r="DB48" s="629"/>
      <c r="DC48" s="629"/>
      <c r="DD48" s="629"/>
      <c r="DE48" s="629"/>
      <c r="DF48" s="629"/>
      <c r="DG48" s="630"/>
      <c r="DH48" s="219"/>
      <c r="DI48" s="219"/>
      <c r="DJ48" s="219"/>
      <c r="DK48" s="219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2"/>
      <c r="DW48" s="105">
        <v>75</v>
      </c>
      <c r="DX48" s="104">
        <v>20</v>
      </c>
      <c r="DY48" s="102">
        <v>46.2</v>
      </c>
      <c r="DZ48" s="293">
        <v>0.12</v>
      </c>
      <c r="EA48" s="102">
        <v>4.3</v>
      </c>
      <c r="EB48" s="106"/>
      <c r="EC48" s="106"/>
      <c r="ED48" s="106"/>
      <c r="EE48" s="102"/>
    </row>
    <row r="49" spans="1:135" ht="12.75" customHeight="1" x14ac:dyDescent="0.15">
      <c r="A49" s="628"/>
      <c r="B49" s="629"/>
      <c r="C49" s="629"/>
      <c r="D49" s="629"/>
      <c r="E49" s="629"/>
      <c r="F49" s="629"/>
      <c r="G49" s="629"/>
      <c r="H49" s="629"/>
      <c r="I49" s="629"/>
      <c r="J49" s="629"/>
      <c r="K49" s="629"/>
      <c r="L49" s="629"/>
      <c r="M49" s="629"/>
      <c r="N49" s="629"/>
      <c r="O49" s="629"/>
      <c r="P49" s="629"/>
      <c r="Q49" s="629"/>
      <c r="R49" s="629"/>
      <c r="S49" s="629"/>
      <c r="T49" s="629"/>
      <c r="U49" s="629"/>
      <c r="V49" s="629"/>
      <c r="W49" s="629"/>
      <c r="X49" s="629"/>
      <c r="Y49" s="629"/>
      <c r="Z49" s="629"/>
      <c r="AA49" s="629"/>
      <c r="AB49" s="629"/>
      <c r="AC49" s="629"/>
      <c r="AD49" s="629"/>
      <c r="AE49" s="629"/>
      <c r="AF49" s="629"/>
      <c r="AG49" s="629"/>
      <c r="AH49" s="629"/>
      <c r="AI49" s="629"/>
      <c r="AJ49" s="629"/>
      <c r="AK49" s="630"/>
      <c r="AL49" s="628"/>
      <c r="AM49" s="629"/>
      <c r="AN49" s="629"/>
      <c r="AO49" s="629"/>
      <c r="AP49" s="629"/>
      <c r="AQ49" s="629"/>
      <c r="AR49" s="629"/>
      <c r="AS49" s="629"/>
      <c r="AT49" s="629"/>
      <c r="AU49" s="629"/>
      <c r="AV49" s="629"/>
      <c r="AW49" s="629"/>
      <c r="AX49" s="629"/>
      <c r="AY49" s="629"/>
      <c r="AZ49" s="629"/>
      <c r="BA49" s="629"/>
      <c r="BB49" s="629"/>
      <c r="BC49" s="629"/>
      <c r="BD49" s="629"/>
      <c r="BE49" s="629"/>
      <c r="BF49" s="629"/>
      <c r="BG49" s="629"/>
      <c r="BH49" s="629"/>
      <c r="BI49" s="629"/>
      <c r="BJ49" s="629"/>
      <c r="BK49" s="629"/>
      <c r="BL49" s="629"/>
      <c r="BM49" s="629"/>
      <c r="BN49" s="629"/>
      <c r="BO49" s="629"/>
      <c r="BP49" s="629"/>
      <c r="BQ49" s="629"/>
      <c r="BR49" s="629"/>
      <c r="BS49" s="629"/>
      <c r="BT49" s="629"/>
      <c r="BU49" s="629"/>
      <c r="BV49" s="630"/>
      <c r="BW49" s="628"/>
      <c r="BX49" s="629"/>
      <c r="BY49" s="629"/>
      <c r="BZ49" s="629"/>
      <c r="CA49" s="629"/>
      <c r="CB49" s="629"/>
      <c r="CC49" s="629"/>
      <c r="CD49" s="629"/>
      <c r="CE49" s="629"/>
      <c r="CF49" s="629"/>
      <c r="CG49" s="629"/>
      <c r="CH49" s="629"/>
      <c r="CI49" s="629"/>
      <c r="CJ49" s="629"/>
      <c r="CK49" s="629"/>
      <c r="CL49" s="629"/>
      <c r="CM49" s="629"/>
      <c r="CN49" s="629"/>
      <c r="CO49" s="629"/>
      <c r="CP49" s="629"/>
      <c r="CQ49" s="629"/>
      <c r="CR49" s="629"/>
      <c r="CS49" s="629"/>
      <c r="CT49" s="629"/>
      <c r="CU49" s="629"/>
      <c r="CV49" s="629"/>
      <c r="CW49" s="629"/>
      <c r="CX49" s="629"/>
      <c r="CY49" s="629"/>
      <c r="CZ49" s="629"/>
      <c r="DA49" s="629"/>
      <c r="DB49" s="629"/>
      <c r="DC49" s="629"/>
      <c r="DD49" s="629"/>
      <c r="DE49" s="629"/>
      <c r="DF49" s="629"/>
      <c r="DG49" s="630"/>
      <c r="DH49" s="219"/>
      <c r="DI49" s="219"/>
      <c r="DJ49" s="219"/>
      <c r="DK49" s="219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2"/>
      <c r="DW49" s="105">
        <v>80</v>
      </c>
      <c r="DX49" s="104">
        <v>20.5</v>
      </c>
      <c r="DY49" s="102">
        <v>46.1</v>
      </c>
      <c r="DZ49" s="293">
        <v>0.11</v>
      </c>
      <c r="EA49" s="102">
        <v>4.4000000000000004</v>
      </c>
      <c r="EB49" s="106"/>
      <c r="EC49" s="106"/>
      <c r="ED49" s="106"/>
      <c r="EE49" s="102"/>
    </row>
    <row r="50" spans="1:135" ht="9" customHeight="1" x14ac:dyDescent="0.15">
      <c r="A50" s="628"/>
      <c r="B50" s="629"/>
      <c r="C50" s="629"/>
      <c r="D50" s="629"/>
      <c r="E50" s="629"/>
      <c r="F50" s="629"/>
      <c r="G50" s="629"/>
      <c r="H50" s="629"/>
      <c r="I50" s="629"/>
      <c r="J50" s="629"/>
      <c r="K50" s="629"/>
      <c r="L50" s="629"/>
      <c r="M50" s="629"/>
      <c r="N50" s="629"/>
      <c r="O50" s="629"/>
      <c r="P50" s="629"/>
      <c r="Q50" s="629"/>
      <c r="R50" s="629"/>
      <c r="S50" s="629"/>
      <c r="T50" s="629"/>
      <c r="U50" s="629"/>
      <c r="V50" s="629"/>
      <c r="W50" s="629"/>
      <c r="X50" s="629"/>
      <c r="Y50" s="629"/>
      <c r="Z50" s="629"/>
      <c r="AA50" s="629"/>
      <c r="AB50" s="629"/>
      <c r="AC50" s="629"/>
      <c r="AD50" s="629"/>
      <c r="AE50" s="629"/>
      <c r="AF50" s="629"/>
      <c r="AG50" s="629"/>
      <c r="AH50" s="629"/>
      <c r="AI50" s="629"/>
      <c r="AJ50" s="629"/>
      <c r="AK50" s="630"/>
      <c r="AL50" s="628"/>
      <c r="AM50" s="629"/>
      <c r="AN50" s="629"/>
      <c r="AO50" s="629"/>
      <c r="AP50" s="629"/>
      <c r="AQ50" s="629"/>
      <c r="AR50" s="629"/>
      <c r="AS50" s="629"/>
      <c r="AT50" s="629"/>
      <c r="AU50" s="629"/>
      <c r="AV50" s="629"/>
      <c r="AW50" s="629"/>
      <c r="AX50" s="629"/>
      <c r="AY50" s="629"/>
      <c r="AZ50" s="629"/>
      <c r="BA50" s="629"/>
      <c r="BB50" s="629"/>
      <c r="BC50" s="629"/>
      <c r="BD50" s="629"/>
      <c r="BE50" s="629"/>
      <c r="BF50" s="629"/>
      <c r="BG50" s="629"/>
      <c r="BH50" s="629"/>
      <c r="BI50" s="629"/>
      <c r="BJ50" s="629"/>
      <c r="BK50" s="629"/>
      <c r="BL50" s="629"/>
      <c r="BM50" s="629"/>
      <c r="BN50" s="629"/>
      <c r="BO50" s="629"/>
      <c r="BP50" s="629"/>
      <c r="BQ50" s="629"/>
      <c r="BR50" s="629"/>
      <c r="BS50" s="629"/>
      <c r="BT50" s="629"/>
      <c r="BU50" s="629"/>
      <c r="BV50" s="630"/>
      <c r="BW50" s="628"/>
      <c r="BX50" s="629"/>
      <c r="BY50" s="629"/>
      <c r="BZ50" s="629"/>
      <c r="CA50" s="629"/>
      <c r="CB50" s="629"/>
      <c r="CC50" s="629"/>
      <c r="CD50" s="629"/>
      <c r="CE50" s="629"/>
      <c r="CF50" s="629"/>
      <c r="CG50" s="629"/>
      <c r="CH50" s="629"/>
      <c r="CI50" s="629"/>
      <c r="CJ50" s="629"/>
      <c r="CK50" s="629"/>
      <c r="CL50" s="629"/>
      <c r="CM50" s="629"/>
      <c r="CN50" s="629"/>
      <c r="CO50" s="629"/>
      <c r="CP50" s="629"/>
      <c r="CQ50" s="629"/>
      <c r="CR50" s="629"/>
      <c r="CS50" s="629"/>
      <c r="CT50" s="629"/>
      <c r="CU50" s="629"/>
      <c r="CV50" s="629"/>
      <c r="CW50" s="629"/>
      <c r="CX50" s="629"/>
      <c r="CY50" s="629"/>
      <c r="CZ50" s="629"/>
      <c r="DA50" s="629"/>
      <c r="DB50" s="629"/>
      <c r="DC50" s="629"/>
      <c r="DD50" s="629"/>
      <c r="DE50" s="629"/>
      <c r="DF50" s="629"/>
      <c r="DG50" s="630"/>
      <c r="DH50" s="219"/>
      <c r="DI50" s="219"/>
      <c r="DJ50" s="219"/>
      <c r="DK50" s="219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2"/>
      <c r="DW50" s="105">
        <v>85</v>
      </c>
      <c r="DX50" s="104">
        <v>21</v>
      </c>
      <c r="DY50" s="102">
        <v>46</v>
      </c>
      <c r="DZ50" s="293">
        <v>0.1</v>
      </c>
      <c r="EA50" s="102">
        <v>4.5</v>
      </c>
      <c r="EB50" s="106"/>
      <c r="EC50" s="106"/>
      <c r="ED50" s="106"/>
      <c r="EE50" s="102"/>
    </row>
    <row r="51" spans="1:135" ht="20.25" customHeight="1" x14ac:dyDescent="0.15">
      <c r="A51" s="136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210"/>
      <c r="P51" s="210"/>
      <c r="Q51" s="210"/>
      <c r="R51" s="210"/>
      <c r="S51" s="210"/>
      <c r="T51" s="102"/>
      <c r="U51" s="208"/>
      <c r="V51" s="198"/>
      <c r="W51" s="608"/>
      <c r="X51" s="608"/>
      <c r="Y51" s="356" t="s">
        <v>195</v>
      </c>
      <c r="Z51" s="356"/>
      <c r="AA51" s="608"/>
      <c r="AB51" s="608"/>
      <c r="AC51" s="356" t="s">
        <v>196</v>
      </c>
      <c r="AD51" s="356"/>
      <c r="AE51" s="608"/>
      <c r="AF51" s="608"/>
      <c r="AG51" s="356" t="s">
        <v>197</v>
      </c>
      <c r="AH51" s="356"/>
      <c r="AI51" s="210"/>
      <c r="AJ51" s="210"/>
      <c r="AK51" s="131"/>
      <c r="AL51" s="136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210"/>
      <c r="BA51" s="210"/>
      <c r="BB51" s="210"/>
      <c r="BC51" s="210"/>
      <c r="BD51" s="210"/>
      <c r="BE51" s="102"/>
      <c r="BF51" s="208"/>
      <c r="BG51" s="198"/>
      <c r="BH51" s="608"/>
      <c r="BI51" s="608"/>
      <c r="BJ51" s="356" t="s">
        <v>195</v>
      </c>
      <c r="BK51" s="356"/>
      <c r="BL51" s="608"/>
      <c r="BM51" s="608"/>
      <c r="BN51" s="356" t="s">
        <v>196</v>
      </c>
      <c r="BO51" s="356"/>
      <c r="BP51" s="608"/>
      <c r="BQ51" s="608"/>
      <c r="BR51" s="356" t="s">
        <v>98</v>
      </c>
      <c r="BS51" s="356"/>
      <c r="BT51" s="210"/>
      <c r="BU51" s="210"/>
      <c r="BV51" s="131"/>
      <c r="BW51" s="136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210"/>
      <c r="CL51" s="210"/>
      <c r="CM51" s="210"/>
      <c r="CN51" s="210"/>
      <c r="CO51" s="210"/>
      <c r="CP51" s="102"/>
      <c r="CQ51" s="208"/>
      <c r="CR51" s="198"/>
      <c r="CS51" s="608"/>
      <c r="CT51" s="608"/>
      <c r="CU51" s="356" t="s">
        <v>195</v>
      </c>
      <c r="CV51" s="356"/>
      <c r="CW51" s="608"/>
      <c r="CX51" s="608"/>
      <c r="CY51" s="356" t="s">
        <v>196</v>
      </c>
      <c r="CZ51" s="356"/>
      <c r="DA51" s="608"/>
      <c r="DB51" s="608"/>
      <c r="DC51" s="356" t="s">
        <v>98</v>
      </c>
      <c r="DD51" s="356"/>
      <c r="DE51" s="210"/>
      <c r="DF51" s="210"/>
      <c r="DG51" s="131"/>
      <c r="DH51" s="130"/>
      <c r="DI51" s="130"/>
      <c r="DJ51" s="130"/>
      <c r="DK51" s="130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2"/>
      <c r="DW51" s="105">
        <v>90</v>
      </c>
      <c r="DX51" s="104">
        <v>21.5</v>
      </c>
      <c r="DY51" s="102">
        <v>45.9</v>
      </c>
      <c r="DZ51" s="293">
        <v>0.09</v>
      </c>
      <c r="EA51" s="102">
        <v>4.5999999999999996</v>
      </c>
      <c r="EB51" s="106"/>
      <c r="EC51" s="106"/>
      <c r="ED51" s="106"/>
      <c r="EE51" s="102"/>
    </row>
    <row r="52" spans="1:135" ht="18" customHeight="1" x14ac:dyDescent="0.15">
      <c r="A52" s="136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98" t="s">
        <v>198</v>
      </c>
      <c r="O52" s="210"/>
      <c r="P52" s="102"/>
      <c r="Q52" s="198"/>
      <c r="R52" s="198" t="s">
        <v>199</v>
      </c>
      <c r="S52" s="198"/>
      <c r="T52" s="598"/>
      <c r="U52" s="598"/>
      <c r="V52" s="598"/>
      <c r="W52" s="598"/>
      <c r="X52" s="598"/>
      <c r="Y52" s="598"/>
      <c r="Z52" s="598"/>
      <c r="AA52" s="598"/>
      <c r="AB52" s="598"/>
      <c r="AC52" s="598"/>
      <c r="AD52" s="598"/>
      <c r="AE52" s="598"/>
      <c r="AF52" s="598"/>
      <c r="AG52" s="598"/>
      <c r="AH52" s="598"/>
      <c r="AI52" s="598"/>
      <c r="AJ52" s="598"/>
      <c r="AK52" s="131"/>
      <c r="AL52" s="136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98" t="s">
        <v>198</v>
      </c>
      <c r="AZ52" s="210"/>
      <c r="BA52" s="102"/>
      <c r="BB52" s="198"/>
      <c r="BC52" s="198" t="s">
        <v>199</v>
      </c>
      <c r="BD52" s="198"/>
      <c r="BE52" s="598"/>
      <c r="BF52" s="598"/>
      <c r="BG52" s="598"/>
      <c r="BH52" s="598"/>
      <c r="BI52" s="598"/>
      <c r="BJ52" s="598"/>
      <c r="BK52" s="598"/>
      <c r="BL52" s="598"/>
      <c r="BM52" s="598"/>
      <c r="BN52" s="598"/>
      <c r="BO52" s="598"/>
      <c r="BP52" s="598"/>
      <c r="BQ52" s="598"/>
      <c r="BR52" s="598"/>
      <c r="BS52" s="598"/>
      <c r="BT52" s="598"/>
      <c r="BU52" s="598"/>
      <c r="BV52" s="131"/>
      <c r="BW52" s="136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98" t="s">
        <v>198</v>
      </c>
      <c r="CK52" s="210"/>
      <c r="CL52" s="102"/>
      <c r="CM52" s="198"/>
      <c r="CN52" s="198" t="s">
        <v>199</v>
      </c>
      <c r="CO52" s="198"/>
      <c r="CP52" s="598"/>
      <c r="CQ52" s="598"/>
      <c r="CR52" s="598"/>
      <c r="CS52" s="598"/>
      <c r="CT52" s="598"/>
      <c r="CU52" s="598"/>
      <c r="CV52" s="598"/>
      <c r="CW52" s="598"/>
      <c r="CX52" s="598"/>
      <c r="CY52" s="598"/>
      <c r="CZ52" s="598"/>
      <c r="DA52" s="598"/>
      <c r="DB52" s="598"/>
      <c r="DC52" s="598"/>
      <c r="DD52" s="598"/>
      <c r="DE52" s="598"/>
      <c r="DF52" s="598"/>
      <c r="DG52" s="131"/>
      <c r="DH52" s="130"/>
      <c r="DI52" s="130"/>
      <c r="DJ52" s="130"/>
      <c r="DK52" s="130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2"/>
      <c r="DW52" s="105">
        <v>95</v>
      </c>
      <c r="DX52" s="104">
        <v>22</v>
      </c>
      <c r="DY52" s="102">
        <v>45.8</v>
      </c>
      <c r="DZ52" s="293">
        <v>0.08</v>
      </c>
      <c r="EA52" s="102">
        <v>4.7</v>
      </c>
      <c r="EB52" s="106"/>
      <c r="EC52" s="106"/>
      <c r="ED52" s="106"/>
      <c r="EE52" s="102"/>
    </row>
    <row r="53" spans="1:135" ht="18.75" customHeight="1" x14ac:dyDescent="0.15">
      <c r="A53" s="136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210"/>
      <c r="P53" s="198"/>
      <c r="Q53" s="198"/>
      <c r="R53" s="198" t="s">
        <v>200</v>
      </c>
      <c r="S53" s="1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  <c r="AD53" s="598"/>
      <c r="AE53" s="598"/>
      <c r="AF53" s="198"/>
      <c r="AG53" s="198"/>
      <c r="AH53" s="198"/>
      <c r="AI53" s="198"/>
      <c r="AJ53" s="210"/>
      <c r="AK53" s="131"/>
      <c r="AL53" s="136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210"/>
      <c r="BA53" s="198"/>
      <c r="BB53" s="198"/>
      <c r="BC53" s="198" t="s">
        <v>200</v>
      </c>
      <c r="BD53" s="198"/>
      <c r="BE53" s="598"/>
      <c r="BF53" s="598"/>
      <c r="BG53" s="598"/>
      <c r="BH53" s="598"/>
      <c r="BI53" s="598"/>
      <c r="BJ53" s="598"/>
      <c r="BK53" s="598"/>
      <c r="BL53" s="598"/>
      <c r="BM53" s="598"/>
      <c r="BN53" s="598"/>
      <c r="BO53" s="598"/>
      <c r="BP53" s="598"/>
      <c r="BQ53" s="198"/>
      <c r="BR53" s="198"/>
      <c r="BS53" s="198"/>
      <c r="BT53" s="198"/>
      <c r="BU53" s="210"/>
      <c r="BV53" s="131"/>
      <c r="BW53" s="136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210"/>
      <c r="CL53" s="198"/>
      <c r="CM53" s="198"/>
      <c r="CN53" s="198" t="s">
        <v>200</v>
      </c>
      <c r="CO53" s="198"/>
      <c r="CP53" s="598"/>
      <c r="CQ53" s="598"/>
      <c r="CR53" s="598"/>
      <c r="CS53" s="598"/>
      <c r="CT53" s="598"/>
      <c r="CU53" s="598"/>
      <c r="CV53" s="598"/>
      <c r="CW53" s="598"/>
      <c r="CX53" s="598"/>
      <c r="CY53" s="598"/>
      <c r="CZ53" s="598"/>
      <c r="DA53" s="598"/>
      <c r="DB53" s="198"/>
      <c r="DC53" s="198"/>
      <c r="DD53" s="198"/>
      <c r="DE53" s="198"/>
      <c r="DF53" s="210"/>
      <c r="DG53" s="131"/>
      <c r="DH53" s="130"/>
      <c r="DI53" s="130"/>
      <c r="DJ53" s="130"/>
      <c r="DK53" s="130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99"/>
      <c r="DW53" s="105">
        <v>100</v>
      </c>
      <c r="DX53" s="104">
        <v>22.5</v>
      </c>
      <c r="DY53" s="102">
        <v>45.7</v>
      </c>
      <c r="DZ53" s="293">
        <v>7.0000000000000007E-2</v>
      </c>
      <c r="EA53" s="102">
        <v>4.8</v>
      </c>
      <c r="EB53" s="106"/>
      <c r="EC53" s="106"/>
      <c r="ED53" s="106"/>
      <c r="EE53" s="102"/>
    </row>
    <row r="54" spans="1:135" ht="6.75" customHeight="1" thickBot="1" x14ac:dyDescent="0.2">
      <c r="A54" s="25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26"/>
      <c r="AL54" s="25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26"/>
      <c r="BW54" s="25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26"/>
      <c r="DH54" s="222"/>
      <c r="DI54" s="222"/>
      <c r="DJ54" s="222"/>
      <c r="DK54" s="222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2"/>
      <c r="DW54" s="105">
        <v>110</v>
      </c>
      <c r="DX54" s="104">
        <v>23</v>
      </c>
      <c r="DY54" s="102">
        <v>45.6</v>
      </c>
      <c r="DZ54" s="293">
        <v>0.06</v>
      </c>
      <c r="EA54" s="102">
        <v>4.9000000000000004</v>
      </c>
      <c r="EB54" s="106"/>
      <c r="EC54" s="106"/>
      <c r="ED54" s="106"/>
      <c r="EE54" s="102"/>
    </row>
    <row r="55" spans="1:135" ht="17.25" customHeight="1" x14ac:dyDescent="0.15">
      <c r="A55" s="102">
        <f>IF(AND(AC4&gt;0,AB11&gt;0,AE15&gt;0),1,0)</f>
        <v>0</v>
      </c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>
        <f>IF(AND(BN4&gt;0,BM11&gt;0,BP15&gt;0),1,0)</f>
        <v>0</v>
      </c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>
        <f>IF(AND(CY4&gt;0,CX11&gt;0,DA15&gt;0),1,0)</f>
        <v>0</v>
      </c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  <c r="CW55" s="102"/>
      <c r="CX55" s="102"/>
      <c r="CY55" s="102"/>
      <c r="CZ55" s="102"/>
      <c r="DA55" s="102"/>
      <c r="DB55" s="102"/>
      <c r="DC55" s="102"/>
      <c r="DD55" s="102"/>
      <c r="DE55" s="102"/>
      <c r="DF55" s="102"/>
      <c r="DG55" s="102"/>
      <c r="DH55" s="102"/>
      <c r="DI55" s="102"/>
      <c r="DJ55" s="102"/>
      <c r="DK55" s="102"/>
      <c r="DL55" s="106"/>
      <c r="DM55" s="106"/>
      <c r="DN55" s="106" t="s">
        <v>281</v>
      </c>
      <c r="DO55" s="106"/>
      <c r="DP55" s="106"/>
      <c r="DQ55" s="106"/>
      <c r="DR55" s="106"/>
      <c r="DS55" s="106"/>
      <c r="DT55" s="106"/>
      <c r="DU55" s="106"/>
      <c r="DV55" s="102"/>
      <c r="DW55" s="105">
        <v>120</v>
      </c>
      <c r="DX55" s="104">
        <v>23.5</v>
      </c>
      <c r="DY55" s="102">
        <v>45.5</v>
      </c>
      <c r="DZ55" s="293">
        <v>0.05</v>
      </c>
      <c r="EA55" s="102">
        <v>5</v>
      </c>
      <c r="EB55" s="106"/>
      <c r="EC55" s="106"/>
      <c r="ED55" s="106"/>
      <c r="EE55" s="102"/>
    </row>
    <row r="56" spans="1:135" ht="6" customHeight="1" x14ac:dyDescent="0.1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  <c r="CW56" s="102"/>
      <c r="CX56" s="102"/>
      <c r="CY56" s="102"/>
      <c r="CZ56" s="102"/>
      <c r="DA56" s="102"/>
      <c r="DB56" s="102"/>
      <c r="DC56" s="102"/>
      <c r="DD56" s="102"/>
      <c r="DE56" s="102"/>
      <c r="DF56" s="102"/>
      <c r="DG56" s="102"/>
      <c r="DH56" s="102"/>
      <c r="DI56" s="102"/>
      <c r="DJ56" s="102"/>
      <c r="DK56" s="102"/>
      <c r="DL56" s="102"/>
      <c r="DM56" s="102"/>
      <c r="DN56" s="102"/>
      <c r="DO56" s="102"/>
      <c r="DP56" s="102"/>
      <c r="DQ56" s="102"/>
      <c r="DR56" s="102"/>
      <c r="DS56" s="102"/>
      <c r="DT56" s="102"/>
      <c r="DU56" s="102"/>
      <c r="DV56" s="102"/>
      <c r="DW56" s="105">
        <v>130</v>
      </c>
      <c r="DX56" s="104">
        <v>24</v>
      </c>
      <c r="DY56" s="102">
        <v>45.4</v>
      </c>
      <c r="DZ56" s="293">
        <v>0.04</v>
      </c>
      <c r="EA56" s="102">
        <v>5.0999999999999996</v>
      </c>
      <c r="EB56" s="106"/>
      <c r="EC56" s="106"/>
      <c r="ED56" s="106"/>
      <c r="EE56" s="102"/>
    </row>
    <row r="57" spans="1:135" x14ac:dyDescent="0.1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  <c r="DA57" s="102"/>
      <c r="DB57" s="102"/>
      <c r="DC57" s="102"/>
      <c r="DD57" s="102"/>
      <c r="DE57" s="102"/>
      <c r="DF57" s="102"/>
      <c r="DG57" s="102"/>
      <c r="DH57" s="102"/>
      <c r="DI57" s="102"/>
      <c r="DJ57" s="102"/>
      <c r="DK57" s="102"/>
      <c r="DL57" s="102"/>
      <c r="DM57" s="102"/>
      <c r="DN57" s="102"/>
      <c r="DO57" s="102"/>
      <c r="DP57" s="102"/>
      <c r="DQ57" s="102"/>
      <c r="DR57" s="102"/>
      <c r="DS57" s="102"/>
      <c r="DT57" s="102"/>
      <c r="DU57" s="102"/>
      <c r="DV57" s="102"/>
      <c r="DW57" s="105">
        <v>140</v>
      </c>
      <c r="DX57" s="104">
        <v>24.5</v>
      </c>
      <c r="DY57" s="102">
        <v>45.3</v>
      </c>
      <c r="DZ57" s="293">
        <v>0.03</v>
      </c>
      <c r="EA57" s="102">
        <v>5.2</v>
      </c>
      <c r="EB57" s="106"/>
      <c r="EC57" s="106"/>
      <c r="ED57" s="106"/>
      <c r="EE57" s="102"/>
    </row>
    <row r="58" spans="1:135" x14ac:dyDescent="0.15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250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102"/>
      <c r="DM58" s="102"/>
      <c r="DN58" s="102"/>
      <c r="DO58" s="102"/>
      <c r="DP58" s="102"/>
      <c r="DQ58" s="102"/>
      <c r="DR58" s="102"/>
      <c r="DS58" s="102"/>
      <c r="DT58" s="102"/>
      <c r="DU58" s="102"/>
      <c r="DV58" s="102"/>
      <c r="DW58" s="105">
        <v>150</v>
      </c>
      <c r="DX58" s="104">
        <v>25</v>
      </c>
      <c r="DY58" s="102">
        <v>45.199999999999996</v>
      </c>
      <c r="DZ58" s="293">
        <v>0.02</v>
      </c>
      <c r="EA58" s="102">
        <v>5.3</v>
      </c>
      <c r="EB58" s="106"/>
      <c r="EC58" s="106"/>
      <c r="ED58" s="106"/>
      <c r="EE58" s="102"/>
    </row>
    <row r="59" spans="1:135" x14ac:dyDescent="0.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102"/>
      <c r="DM59" s="102"/>
      <c r="DN59" s="102"/>
      <c r="DO59" s="102"/>
      <c r="DP59" s="102"/>
      <c r="DQ59" s="102"/>
      <c r="DR59" s="102"/>
      <c r="DS59" s="102"/>
      <c r="DT59" s="102"/>
      <c r="DU59" s="102"/>
      <c r="DV59" s="102"/>
      <c r="DW59" s="105">
        <v>200</v>
      </c>
      <c r="DX59" s="104">
        <v>25.5</v>
      </c>
      <c r="DY59" s="102">
        <v>45.099999999999994</v>
      </c>
      <c r="DZ59" s="293">
        <v>0.01</v>
      </c>
      <c r="EA59" s="102">
        <v>5.4</v>
      </c>
      <c r="EB59" s="106"/>
      <c r="EC59" s="106"/>
      <c r="ED59" s="106"/>
      <c r="EE59" s="102"/>
    </row>
    <row r="60" spans="1:135" x14ac:dyDescent="0.1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102"/>
      <c r="DM60" s="102"/>
      <c r="DN60" s="102"/>
      <c r="DO60" s="102"/>
      <c r="DP60" s="102"/>
      <c r="DQ60" s="102"/>
      <c r="DR60" s="102"/>
      <c r="DS60" s="102"/>
      <c r="DT60" s="102"/>
      <c r="DU60" s="102"/>
      <c r="DV60" s="102"/>
      <c r="DW60" s="105">
        <v>250</v>
      </c>
      <c r="DX60" s="104">
        <v>26</v>
      </c>
      <c r="DY60" s="102">
        <v>44.999999999999993</v>
      </c>
      <c r="DZ60" s="102"/>
      <c r="EA60" s="102">
        <v>5.5</v>
      </c>
      <c r="EB60" s="106"/>
      <c r="EC60" s="106"/>
      <c r="ED60" s="106"/>
      <c r="EE60" s="102"/>
    </row>
    <row r="61" spans="1:135" x14ac:dyDescent="0.1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102"/>
      <c r="DM61" s="102"/>
      <c r="DN61" s="102"/>
      <c r="DO61" s="102"/>
      <c r="DP61" s="102"/>
      <c r="DQ61" s="102"/>
      <c r="DR61" s="102"/>
      <c r="DS61" s="102"/>
      <c r="DT61" s="102"/>
      <c r="DU61" s="102"/>
      <c r="DV61" s="102"/>
      <c r="DW61" s="105">
        <v>300</v>
      </c>
      <c r="DX61" s="104">
        <v>26.5</v>
      </c>
      <c r="DY61" s="102">
        <v>44.899999999999991</v>
      </c>
      <c r="DZ61" s="102"/>
      <c r="EA61" s="102">
        <v>5.6</v>
      </c>
      <c r="EB61" s="106"/>
      <c r="EC61" s="106"/>
      <c r="ED61" s="106"/>
      <c r="EE61" s="102"/>
    </row>
    <row r="62" spans="1:135" x14ac:dyDescent="0.1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5">
        <v>350</v>
      </c>
      <c r="DX62" s="104">
        <v>27</v>
      </c>
      <c r="DY62" s="102">
        <v>44.79999999999999</v>
      </c>
      <c r="DZ62" s="102"/>
      <c r="EA62" s="102">
        <v>5.7</v>
      </c>
      <c r="EB62" s="106"/>
      <c r="EC62" s="106"/>
      <c r="ED62" s="106"/>
      <c r="EE62" s="102"/>
    </row>
    <row r="63" spans="1:135" x14ac:dyDescent="0.1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5">
        <v>400</v>
      </c>
      <c r="DX63" s="104">
        <v>27.5</v>
      </c>
      <c r="DY63" s="102">
        <v>44.699999999999989</v>
      </c>
      <c r="DZ63" s="102"/>
      <c r="EA63" s="102">
        <v>5.8</v>
      </c>
      <c r="EB63" s="106"/>
      <c r="EC63" s="106"/>
      <c r="ED63" s="106"/>
      <c r="EE63" s="102"/>
    </row>
    <row r="64" spans="1:135" x14ac:dyDescent="0.1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5">
        <v>450</v>
      </c>
      <c r="DX64" s="104">
        <v>28</v>
      </c>
      <c r="DY64" s="102">
        <v>44.599999999999987</v>
      </c>
      <c r="DZ64" s="102"/>
      <c r="EA64" s="102">
        <v>5.9</v>
      </c>
      <c r="EB64" s="106"/>
      <c r="EC64" s="106"/>
      <c r="ED64" s="106"/>
      <c r="EE64" s="102"/>
    </row>
    <row r="65" spans="1:135" x14ac:dyDescent="0.1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5">
        <v>500</v>
      </c>
      <c r="DX65" s="104">
        <v>28.5</v>
      </c>
      <c r="DY65" s="102">
        <v>44.499999999999986</v>
      </c>
      <c r="DZ65" s="102"/>
      <c r="EA65" s="102">
        <v>6</v>
      </c>
      <c r="EB65" s="106"/>
      <c r="EC65" s="106"/>
      <c r="ED65" s="106"/>
      <c r="EE65" s="102"/>
    </row>
    <row r="66" spans="1:135" x14ac:dyDescent="0.15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5">
        <v>600</v>
      </c>
      <c r="DX66" s="104">
        <v>29</v>
      </c>
      <c r="DY66" s="102">
        <v>44.399999999999984</v>
      </c>
      <c r="DZ66" s="102"/>
      <c r="EA66" s="102">
        <v>6.1</v>
      </c>
      <c r="EB66" s="106"/>
      <c r="EC66" s="106"/>
      <c r="ED66" s="106"/>
      <c r="EE66" s="102"/>
    </row>
    <row r="67" spans="1:135" x14ac:dyDescent="0.1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5">
        <v>700</v>
      </c>
      <c r="DX67" s="104">
        <v>29.5</v>
      </c>
      <c r="DY67" s="102">
        <v>44.299999999999983</v>
      </c>
      <c r="DZ67" s="102"/>
      <c r="EA67" s="102">
        <v>6.2</v>
      </c>
      <c r="EB67" s="106"/>
      <c r="EC67" s="106"/>
      <c r="ED67" s="106"/>
      <c r="EE67" s="102"/>
    </row>
    <row r="68" spans="1:135" x14ac:dyDescent="0.1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5">
        <v>800</v>
      </c>
      <c r="DX68" s="104">
        <v>30</v>
      </c>
      <c r="DY68" s="102">
        <v>44.199999999999982</v>
      </c>
      <c r="DZ68" s="102"/>
      <c r="EA68" s="102">
        <v>6.3</v>
      </c>
      <c r="EB68" s="106"/>
      <c r="EC68" s="106"/>
      <c r="ED68" s="106"/>
      <c r="EE68" s="102"/>
    </row>
    <row r="69" spans="1:135" x14ac:dyDescent="0.1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5">
        <v>900</v>
      </c>
      <c r="DX69" s="104">
        <v>30.5</v>
      </c>
      <c r="DY69" s="102">
        <v>44.09999999999998</v>
      </c>
      <c r="DZ69" s="102"/>
      <c r="EA69" s="102">
        <v>6.4</v>
      </c>
      <c r="EB69" s="106"/>
      <c r="EC69" s="106"/>
      <c r="ED69" s="106"/>
      <c r="EE69" s="102"/>
    </row>
    <row r="70" spans="1:135" x14ac:dyDescent="0.1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5">
        <v>1000</v>
      </c>
      <c r="DX70" s="104">
        <v>31</v>
      </c>
      <c r="DY70" s="102">
        <v>43.999999999999979</v>
      </c>
      <c r="DZ70" s="102"/>
      <c r="EA70" s="102">
        <v>6.5</v>
      </c>
      <c r="EB70" s="106"/>
      <c r="EC70" s="106"/>
      <c r="ED70" s="106"/>
      <c r="EE70" s="102"/>
    </row>
    <row r="71" spans="1:135" x14ac:dyDescent="0.1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4">
        <v>31.5</v>
      </c>
      <c r="DY71" s="102">
        <v>43.899999999999977</v>
      </c>
      <c r="DZ71" s="102"/>
      <c r="EA71" s="102">
        <v>6.6</v>
      </c>
      <c r="EB71" s="106"/>
      <c r="EC71" s="106"/>
      <c r="ED71" s="106"/>
      <c r="EE71" s="102"/>
    </row>
    <row r="72" spans="1:135" x14ac:dyDescent="0.1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4">
        <v>32</v>
      </c>
      <c r="DY72" s="102">
        <v>43.799999999999976</v>
      </c>
      <c r="DZ72" s="102"/>
      <c r="EA72" s="102">
        <v>6.7</v>
      </c>
      <c r="EB72" s="106"/>
      <c r="EC72" s="106"/>
      <c r="ED72" s="106"/>
      <c r="EE72" s="102"/>
    </row>
    <row r="73" spans="1:135" x14ac:dyDescent="0.1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2"/>
      <c r="DN73" s="102"/>
      <c r="DO73" s="102"/>
      <c r="DP73" s="102"/>
      <c r="DQ73" s="102"/>
      <c r="DR73" s="102"/>
      <c r="DS73" s="102"/>
      <c r="DT73" s="102"/>
      <c r="DU73" s="102"/>
      <c r="DV73" s="102"/>
      <c r="DW73" s="102"/>
      <c r="DX73" s="104">
        <v>32.5</v>
      </c>
      <c r="DY73" s="102">
        <v>43.699999999999974</v>
      </c>
      <c r="DZ73" s="102"/>
      <c r="EA73" s="102">
        <v>6.8</v>
      </c>
      <c r="EB73" s="106"/>
      <c r="EC73" s="106"/>
      <c r="ED73" s="106"/>
      <c r="EE73" s="102"/>
    </row>
    <row r="74" spans="1:135" x14ac:dyDescent="0.1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2"/>
      <c r="DX74" s="104">
        <v>33</v>
      </c>
      <c r="DY74" s="102">
        <v>43.599999999999973</v>
      </c>
      <c r="DZ74" s="102"/>
      <c r="EA74" s="102">
        <v>6.9</v>
      </c>
      <c r="EB74" s="106"/>
      <c r="EC74" s="106"/>
      <c r="ED74" s="106"/>
      <c r="EE74" s="102"/>
    </row>
    <row r="75" spans="1:135" x14ac:dyDescent="0.1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2"/>
      <c r="DX75" s="104">
        <v>33.5</v>
      </c>
      <c r="DY75" s="102">
        <v>43.499999999999972</v>
      </c>
      <c r="DZ75" s="102"/>
      <c r="EA75" s="102">
        <v>7</v>
      </c>
      <c r="EB75" s="106"/>
      <c r="EC75" s="106"/>
      <c r="ED75" s="106"/>
      <c r="EE75" s="102"/>
    </row>
    <row r="76" spans="1:135" x14ac:dyDescent="0.1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2"/>
      <c r="DX76" s="104">
        <v>34</v>
      </c>
      <c r="DY76" s="102">
        <v>43.39999999999997</v>
      </c>
      <c r="DZ76" s="102"/>
      <c r="EA76" s="102">
        <v>7.1</v>
      </c>
      <c r="EB76" s="106"/>
      <c r="EC76" s="106"/>
      <c r="ED76" s="106"/>
      <c r="EE76" s="102"/>
    </row>
    <row r="77" spans="1:135" x14ac:dyDescent="0.1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4">
        <v>34.5</v>
      </c>
      <c r="DY77" s="102">
        <v>43.299999999999969</v>
      </c>
      <c r="DZ77" s="102"/>
      <c r="EA77" s="102">
        <v>7.2</v>
      </c>
      <c r="EB77" s="106"/>
      <c r="EC77" s="106"/>
      <c r="ED77" s="106"/>
      <c r="EE77" s="102"/>
    </row>
    <row r="78" spans="1:135" x14ac:dyDescent="0.1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2"/>
      <c r="DX78" s="104">
        <v>35</v>
      </c>
      <c r="DY78" s="102">
        <v>43.199999999999967</v>
      </c>
      <c r="DZ78" s="102"/>
      <c r="EA78" s="102">
        <v>7.3</v>
      </c>
      <c r="EB78" s="106"/>
      <c r="EC78" s="106"/>
      <c r="ED78" s="106"/>
      <c r="EE78" s="102"/>
    </row>
    <row r="79" spans="1:135" x14ac:dyDescent="0.1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4">
        <v>35.5</v>
      </c>
      <c r="DY79" s="102">
        <v>43.099999999999966</v>
      </c>
      <c r="DZ79" s="102"/>
      <c r="EA79" s="102">
        <v>7.4</v>
      </c>
      <c r="EB79" s="106"/>
      <c r="EC79" s="106"/>
      <c r="ED79" s="106"/>
      <c r="EE79" s="102"/>
    </row>
    <row r="80" spans="1:135" x14ac:dyDescent="0.1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4">
        <v>36</v>
      </c>
      <c r="DY80" s="102">
        <v>42.999999999999964</v>
      </c>
      <c r="DZ80" s="102"/>
      <c r="EA80" s="102">
        <v>7.5</v>
      </c>
      <c r="EB80" s="106"/>
      <c r="EC80" s="106"/>
      <c r="ED80" s="106"/>
      <c r="EE80" s="102"/>
    </row>
    <row r="81" spans="1:135" x14ac:dyDescent="0.1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4">
        <v>36.5</v>
      </c>
      <c r="DY81" s="102">
        <v>42.899999999999963</v>
      </c>
      <c r="DZ81" s="102"/>
      <c r="EA81" s="102">
        <v>7.6</v>
      </c>
      <c r="EB81" s="106"/>
      <c r="EC81" s="106"/>
      <c r="ED81" s="106"/>
      <c r="EE81" s="102"/>
    </row>
    <row r="82" spans="1:135" x14ac:dyDescent="0.1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4">
        <v>37</v>
      </c>
      <c r="DY82" s="102">
        <v>42.799999999999962</v>
      </c>
      <c r="DZ82" s="102"/>
      <c r="EA82" s="102">
        <v>7.7</v>
      </c>
      <c r="EB82" s="106"/>
      <c r="EC82" s="106"/>
      <c r="ED82" s="106"/>
      <c r="EE82" s="102"/>
    </row>
    <row r="83" spans="1:135" x14ac:dyDescent="0.1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4">
        <v>37.5</v>
      </c>
      <c r="DY83" s="102">
        <v>42.69999999999996</v>
      </c>
      <c r="DZ83" s="102"/>
      <c r="EA83" s="102">
        <v>7.8</v>
      </c>
      <c r="EB83" s="106"/>
      <c r="EC83" s="106"/>
      <c r="ED83" s="106"/>
      <c r="EE83" s="102"/>
    </row>
    <row r="84" spans="1:135" x14ac:dyDescent="0.1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4">
        <v>38</v>
      </c>
      <c r="DY84" s="102">
        <v>42.599999999999959</v>
      </c>
      <c r="DZ84" s="102"/>
      <c r="EA84" s="102">
        <v>7.9</v>
      </c>
      <c r="EB84" s="106"/>
      <c r="EC84" s="106"/>
      <c r="ED84" s="106"/>
      <c r="EE84" s="102"/>
    </row>
    <row r="85" spans="1:135" x14ac:dyDescent="0.1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4">
        <v>38.5</v>
      </c>
      <c r="DY85" s="102">
        <v>42.499999999999957</v>
      </c>
      <c r="DZ85" s="102"/>
      <c r="EA85" s="102">
        <v>8</v>
      </c>
      <c r="EB85" s="106"/>
      <c r="EC85" s="106"/>
      <c r="ED85" s="106"/>
      <c r="EE85" s="102"/>
    </row>
    <row r="86" spans="1:135" x14ac:dyDescent="0.1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4">
        <v>39</v>
      </c>
      <c r="DY86" s="102">
        <v>42.399999999999956</v>
      </c>
      <c r="DZ86" s="102"/>
      <c r="EA86" s="102">
        <v>8.1</v>
      </c>
      <c r="EB86" s="106"/>
      <c r="EC86" s="106"/>
      <c r="ED86" s="106"/>
      <c r="EE86" s="102"/>
    </row>
    <row r="87" spans="1:135" x14ac:dyDescent="0.1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4">
        <v>39.5</v>
      </c>
      <c r="DY87" s="102">
        <v>42.299999999999955</v>
      </c>
      <c r="DZ87" s="102"/>
      <c r="EA87" s="102">
        <v>8.1999999999999993</v>
      </c>
      <c r="EB87" s="106"/>
      <c r="EC87" s="106"/>
      <c r="ED87" s="106"/>
      <c r="EE87" s="102"/>
    </row>
    <row r="88" spans="1:135" x14ac:dyDescent="0.1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4">
        <v>40</v>
      </c>
      <c r="DY88" s="102">
        <v>42.199999999999953</v>
      </c>
      <c r="DZ88" s="102"/>
      <c r="EA88" s="102">
        <v>8.3000000000000007</v>
      </c>
      <c r="EB88" s="106"/>
      <c r="EC88" s="106"/>
      <c r="ED88" s="106"/>
      <c r="EE88" s="102"/>
    </row>
    <row r="89" spans="1:135" x14ac:dyDescent="0.1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4">
        <v>40.5</v>
      </c>
      <c r="DY89" s="102">
        <v>42.099999999999952</v>
      </c>
      <c r="DZ89" s="102"/>
      <c r="EA89" s="102">
        <v>8.4</v>
      </c>
      <c r="EB89" s="106"/>
      <c r="EC89" s="106"/>
      <c r="ED89" s="106"/>
      <c r="EE89" s="102"/>
    </row>
    <row r="90" spans="1:135" x14ac:dyDescent="0.1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4">
        <v>41</v>
      </c>
      <c r="DY90" s="102">
        <v>41.99999999999995</v>
      </c>
      <c r="DZ90" s="102"/>
      <c r="EA90" s="102">
        <v>8.5</v>
      </c>
      <c r="EB90" s="106"/>
      <c r="EC90" s="106"/>
      <c r="ED90" s="106"/>
      <c r="EE90" s="102"/>
    </row>
    <row r="91" spans="1:135" x14ac:dyDescent="0.1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4">
        <v>41.5</v>
      </c>
      <c r="DY91" s="102">
        <v>41.9</v>
      </c>
      <c r="DZ91" s="102"/>
      <c r="EA91" s="102">
        <v>8.6</v>
      </c>
      <c r="EB91" s="106"/>
      <c r="EC91" s="106"/>
      <c r="ED91" s="106"/>
      <c r="EE91" s="102"/>
    </row>
    <row r="92" spans="1:135" x14ac:dyDescent="0.1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4">
        <v>42</v>
      </c>
      <c r="DY92" s="102">
        <v>41.8</v>
      </c>
      <c r="DZ92" s="102"/>
      <c r="EA92" s="102">
        <v>8.6999999999999993</v>
      </c>
      <c r="EB92" s="106"/>
      <c r="EC92" s="106"/>
      <c r="ED92" s="106"/>
      <c r="EE92" s="102"/>
    </row>
    <row r="93" spans="1:135" x14ac:dyDescent="0.1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4">
        <v>42.5</v>
      </c>
      <c r="DY93" s="102">
        <v>41.699999999999996</v>
      </c>
      <c r="DZ93" s="102"/>
      <c r="EA93" s="102">
        <v>8.8000000000000007</v>
      </c>
      <c r="EB93" s="106"/>
      <c r="EC93" s="106"/>
      <c r="ED93" s="106"/>
      <c r="EE93" s="102"/>
    </row>
    <row r="94" spans="1:135" x14ac:dyDescent="0.1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4">
        <v>43</v>
      </c>
      <c r="DY94" s="102">
        <v>41.599999999999994</v>
      </c>
      <c r="DZ94" s="102"/>
      <c r="EA94" s="102">
        <v>8.9</v>
      </c>
      <c r="EB94" s="106"/>
      <c r="EC94" s="106"/>
      <c r="ED94" s="106"/>
      <c r="EE94" s="102"/>
    </row>
    <row r="95" spans="1:135" x14ac:dyDescent="0.1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4">
        <v>43.5</v>
      </c>
      <c r="DY95" s="102">
        <v>41.499999999999993</v>
      </c>
      <c r="DZ95" s="102"/>
      <c r="EA95" s="102">
        <v>9</v>
      </c>
      <c r="EB95" s="106"/>
      <c r="EC95" s="106"/>
      <c r="ED95" s="106"/>
      <c r="EE95" s="102"/>
    </row>
    <row r="96" spans="1:135" x14ac:dyDescent="0.1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4">
        <v>44</v>
      </c>
      <c r="DY96" s="102">
        <v>41.399999999999991</v>
      </c>
      <c r="DZ96" s="102"/>
      <c r="EA96" s="102">
        <v>9.1</v>
      </c>
      <c r="EB96" s="106"/>
      <c r="EC96" s="106"/>
      <c r="ED96" s="106"/>
      <c r="EE96" s="102"/>
    </row>
    <row r="97" spans="1:135" x14ac:dyDescent="0.1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4">
        <v>44.5</v>
      </c>
      <c r="DY97" s="102">
        <v>41.29999999999999</v>
      </c>
      <c r="DZ97" s="102"/>
      <c r="EA97" s="102">
        <v>9.1999999999999993</v>
      </c>
      <c r="EB97" s="106"/>
      <c r="EC97" s="106"/>
      <c r="ED97" s="106"/>
      <c r="EE97" s="102"/>
    </row>
    <row r="98" spans="1:135" x14ac:dyDescent="0.1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4">
        <v>45</v>
      </c>
      <c r="DY98" s="102">
        <v>41.199999999999989</v>
      </c>
      <c r="DZ98" s="102"/>
      <c r="EA98" s="102">
        <v>9.3000000000000007</v>
      </c>
      <c r="EB98" s="106"/>
      <c r="EC98" s="106"/>
      <c r="ED98" s="106"/>
      <c r="EE98" s="102"/>
    </row>
    <row r="99" spans="1:135" x14ac:dyDescent="0.1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4">
        <v>45.5</v>
      </c>
      <c r="DY99" s="102">
        <v>41.099999999999987</v>
      </c>
      <c r="DZ99" s="102"/>
      <c r="EA99" s="102">
        <v>9.4</v>
      </c>
      <c r="EB99" s="106"/>
      <c r="EC99" s="106"/>
      <c r="ED99" s="106"/>
      <c r="EE99" s="102"/>
    </row>
    <row r="100" spans="1:135" x14ac:dyDescent="0.1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4">
        <v>46</v>
      </c>
      <c r="DY100" s="102">
        <v>40.999999999999986</v>
      </c>
      <c r="DZ100" s="102"/>
      <c r="EA100" s="102">
        <v>9.5</v>
      </c>
      <c r="EB100" s="106"/>
      <c r="EC100" s="106"/>
      <c r="ED100" s="106"/>
      <c r="EE100" s="102"/>
    </row>
    <row r="101" spans="1:135" x14ac:dyDescent="0.1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4">
        <v>46.5</v>
      </c>
      <c r="DY101" s="102">
        <v>40.899999999999984</v>
      </c>
      <c r="DZ101" s="102"/>
      <c r="EA101" s="102">
        <v>9.6</v>
      </c>
      <c r="EB101" s="106"/>
      <c r="EC101" s="106"/>
      <c r="ED101" s="106"/>
      <c r="EE101" s="102"/>
    </row>
    <row r="102" spans="1:135" x14ac:dyDescent="0.1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4">
        <v>47</v>
      </c>
      <c r="DY102" s="102">
        <v>40.799999999999983</v>
      </c>
      <c r="DZ102" s="102"/>
      <c r="EA102" s="102">
        <v>9.6999999999999993</v>
      </c>
      <c r="EB102" s="106"/>
      <c r="EC102" s="106"/>
      <c r="ED102" s="106"/>
      <c r="EE102" s="102"/>
    </row>
    <row r="103" spans="1:135" x14ac:dyDescent="0.1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4">
        <v>47.5</v>
      </c>
      <c r="DY103" s="102">
        <v>40.699999999999982</v>
      </c>
      <c r="DZ103" s="102"/>
      <c r="EA103" s="102">
        <v>9.8000000000000007</v>
      </c>
      <c r="EB103" s="106"/>
      <c r="EC103" s="106"/>
      <c r="ED103" s="106"/>
      <c r="EE103" s="102"/>
    </row>
    <row r="104" spans="1:135" x14ac:dyDescent="0.1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4">
        <v>48</v>
      </c>
      <c r="DY104" s="102">
        <v>40.59999999999998</v>
      </c>
      <c r="DZ104" s="102"/>
      <c r="EA104" s="102">
        <v>9.9</v>
      </c>
      <c r="EB104" s="106"/>
      <c r="EC104" s="106"/>
      <c r="ED104" s="106"/>
      <c r="EE104" s="102"/>
    </row>
    <row r="105" spans="1:135" x14ac:dyDescent="0.1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4">
        <v>48.5</v>
      </c>
      <c r="DY105" s="102">
        <v>40.499999999999979</v>
      </c>
      <c r="DZ105" s="102"/>
      <c r="EA105" s="102">
        <v>10</v>
      </c>
      <c r="EB105" s="106"/>
      <c r="EC105" s="106"/>
      <c r="ED105" s="106"/>
      <c r="EE105" s="102"/>
    </row>
    <row r="106" spans="1:135" x14ac:dyDescent="0.1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4">
        <v>49</v>
      </c>
      <c r="DY106" s="102">
        <v>40.399999999999977</v>
      </c>
      <c r="DZ106" s="102"/>
      <c r="EA106" s="102">
        <v>10.1</v>
      </c>
      <c r="EB106" s="106"/>
      <c r="EC106" s="106"/>
      <c r="ED106" s="106"/>
      <c r="EE106" s="102"/>
    </row>
    <row r="107" spans="1:135" x14ac:dyDescent="0.1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4">
        <v>49.5</v>
      </c>
      <c r="DY107" s="102">
        <v>40.299999999999976</v>
      </c>
      <c r="DZ107" s="102"/>
      <c r="EA107" s="102">
        <v>10.199999999999999</v>
      </c>
      <c r="EB107" s="106"/>
      <c r="EC107" s="106"/>
      <c r="ED107" s="106"/>
      <c r="EE107" s="102"/>
    </row>
    <row r="108" spans="1:135" x14ac:dyDescent="0.1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4">
        <v>50</v>
      </c>
      <c r="DY108" s="102">
        <v>40.199999999999974</v>
      </c>
      <c r="DZ108" s="102"/>
      <c r="EA108" s="102">
        <v>10.3</v>
      </c>
      <c r="EB108" s="106"/>
      <c r="EC108" s="106"/>
      <c r="ED108" s="106"/>
      <c r="EE108" s="102"/>
    </row>
    <row r="109" spans="1:135" x14ac:dyDescent="0.1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4">
        <v>50.5</v>
      </c>
      <c r="DY109" s="102">
        <v>40.099999999999973</v>
      </c>
      <c r="DZ109" s="102"/>
      <c r="EA109" s="102">
        <v>10.4</v>
      </c>
      <c r="EB109" s="106"/>
      <c r="EC109" s="106"/>
      <c r="ED109" s="106"/>
      <c r="EE109" s="102"/>
    </row>
    <row r="110" spans="1:135" x14ac:dyDescent="0.1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4">
        <v>51</v>
      </c>
      <c r="DY110" s="102">
        <v>39.999999999999972</v>
      </c>
      <c r="DZ110" s="102"/>
      <c r="EA110" s="102">
        <v>10.5</v>
      </c>
      <c r="EB110" s="106"/>
      <c r="EC110" s="106"/>
      <c r="ED110" s="106"/>
      <c r="EE110" s="102"/>
    </row>
    <row r="111" spans="1:135" x14ac:dyDescent="0.1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4">
        <v>51.5</v>
      </c>
      <c r="DY111" s="102">
        <v>39.89999999999997</v>
      </c>
      <c r="DZ111" s="102"/>
      <c r="EA111" s="102">
        <v>10.6</v>
      </c>
      <c r="EB111" s="106"/>
      <c r="EC111" s="106"/>
      <c r="ED111" s="106"/>
      <c r="EE111" s="102"/>
    </row>
    <row r="112" spans="1:135" x14ac:dyDescent="0.1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4">
        <v>52</v>
      </c>
      <c r="DY112" s="102">
        <v>39.799999999999969</v>
      </c>
      <c r="DZ112" s="102"/>
      <c r="EA112" s="102">
        <v>10.7</v>
      </c>
      <c r="EB112" s="106"/>
      <c r="EC112" s="106"/>
      <c r="ED112" s="106"/>
      <c r="EE112" s="102"/>
    </row>
    <row r="113" spans="1:135" x14ac:dyDescent="0.1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4">
        <v>52.5</v>
      </c>
      <c r="DY113" s="102">
        <v>39.699999999999967</v>
      </c>
      <c r="DZ113" s="102"/>
      <c r="EA113" s="102">
        <v>10.8</v>
      </c>
      <c r="EB113" s="106"/>
      <c r="EC113" s="106"/>
      <c r="ED113" s="106"/>
      <c r="EE113" s="102"/>
    </row>
    <row r="114" spans="1:135" x14ac:dyDescent="0.1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4">
        <v>53</v>
      </c>
      <c r="DY114" s="102">
        <v>39.599999999999966</v>
      </c>
      <c r="DZ114" s="102"/>
      <c r="EA114" s="102">
        <v>10.9</v>
      </c>
      <c r="EB114" s="106"/>
      <c r="EC114" s="106"/>
      <c r="ED114" s="106"/>
      <c r="EE114" s="102"/>
    </row>
    <row r="115" spans="1:135" x14ac:dyDescent="0.1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4">
        <v>53.5</v>
      </c>
      <c r="DY115" s="102">
        <v>39.499999999999964</v>
      </c>
      <c r="DZ115" s="102"/>
      <c r="EA115" s="102">
        <v>11</v>
      </c>
      <c r="EB115" s="106"/>
      <c r="EC115" s="106"/>
      <c r="ED115" s="106"/>
      <c r="EE115" s="102"/>
    </row>
    <row r="116" spans="1:135" x14ac:dyDescent="0.1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4">
        <v>54</v>
      </c>
      <c r="DY116" s="102">
        <v>39.399999999999963</v>
      </c>
      <c r="DZ116" s="102"/>
      <c r="EA116" s="102">
        <v>11.1</v>
      </c>
      <c r="EB116" s="106"/>
      <c r="EC116" s="106"/>
      <c r="ED116" s="106"/>
      <c r="EE116" s="102"/>
    </row>
    <row r="117" spans="1:135" x14ac:dyDescent="0.1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4">
        <v>54.5</v>
      </c>
      <c r="DY117" s="102">
        <v>39.299999999999962</v>
      </c>
      <c r="DZ117" s="102"/>
      <c r="EA117" s="102">
        <v>11.2</v>
      </c>
      <c r="EB117" s="106"/>
      <c r="EC117" s="106"/>
      <c r="ED117" s="106"/>
      <c r="EE117" s="102"/>
    </row>
    <row r="118" spans="1:135" x14ac:dyDescent="0.1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4">
        <v>55</v>
      </c>
      <c r="DY118" s="102">
        <v>39.19999999999996</v>
      </c>
      <c r="DZ118" s="102"/>
      <c r="EA118" s="102">
        <v>11.3</v>
      </c>
      <c r="EB118" s="106"/>
      <c r="EC118" s="106"/>
      <c r="ED118" s="106"/>
      <c r="EE118" s="102"/>
    </row>
    <row r="119" spans="1:135" x14ac:dyDescent="0.1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4">
        <v>55.5</v>
      </c>
      <c r="DY119" s="102">
        <v>39.099999999999959</v>
      </c>
      <c r="DZ119" s="102"/>
      <c r="EA119" s="102">
        <v>11.4</v>
      </c>
      <c r="EB119" s="106"/>
      <c r="EC119" s="106"/>
      <c r="ED119" s="106"/>
      <c r="EE119" s="102"/>
    </row>
    <row r="120" spans="1:135" x14ac:dyDescent="0.1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4">
        <v>56</v>
      </c>
      <c r="DY120" s="102">
        <v>38.999999999999957</v>
      </c>
      <c r="DZ120" s="102"/>
      <c r="EA120" s="102">
        <v>11.5</v>
      </c>
      <c r="EB120" s="106"/>
      <c r="EC120" s="106"/>
      <c r="ED120" s="106"/>
      <c r="EE120" s="102"/>
    </row>
    <row r="121" spans="1:135" x14ac:dyDescent="0.1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3">
        <v>56.5</v>
      </c>
      <c r="DY121" s="102">
        <v>38.899999999999956</v>
      </c>
      <c r="DZ121" s="102"/>
      <c r="EA121" s="102">
        <v>11.6</v>
      </c>
      <c r="EB121" s="106"/>
      <c r="EC121" s="106"/>
      <c r="ED121" s="106"/>
      <c r="EE121" s="102"/>
    </row>
    <row r="122" spans="1:135" x14ac:dyDescent="0.1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3">
        <v>57</v>
      </c>
      <c r="DY122" s="102">
        <v>38.799999999999955</v>
      </c>
      <c r="DZ122" s="102"/>
      <c r="EA122" s="102">
        <v>11.7</v>
      </c>
      <c r="EB122" s="106"/>
      <c r="EC122" s="106"/>
      <c r="ED122" s="106"/>
      <c r="EE122" s="102"/>
    </row>
    <row r="123" spans="1:135" x14ac:dyDescent="0.1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3">
        <v>57.5</v>
      </c>
      <c r="DY123" s="102">
        <v>38.699999999999953</v>
      </c>
      <c r="DZ123" s="102"/>
      <c r="EA123" s="102">
        <v>11.8</v>
      </c>
      <c r="EB123" s="106"/>
      <c r="EC123" s="106"/>
      <c r="ED123" s="106"/>
      <c r="EE123" s="102"/>
    </row>
    <row r="124" spans="1:135" x14ac:dyDescent="0.1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3">
        <v>58</v>
      </c>
      <c r="DY124" s="102">
        <v>38.599999999999952</v>
      </c>
      <c r="DZ124" s="102"/>
      <c r="EA124" s="102">
        <v>11.9</v>
      </c>
      <c r="EB124" s="106"/>
      <c r="EC124" s="106"/>
      <c r="ED124" s="106"/>
      <c r="EE124" s="102"/>
    </row>
    <row r="125" spans="1:135" x14ac:dyDescent="0.1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3">
        <v>58.5</v>
      </c>
      <c r="DY125" s="102">
        <v>38.49999999999995</v>
      </c>
      <c r="DZ125" s="102"/>
      <c r="EA125" s="102">
        <v>12</v>
      </c>
      <c r="EB125" s="106"/>
      <c r="EC125" s="106"/>
      <c r="ED125" s="106"/>
      <c r="EE125" s="102"/>
    </row>
    <row r="126" spans="1:135" x14ac:dyDescent="0.1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3">
        <v>59</v>
      </c>
      <c r="DY126" s="102">
        <v>38.4</v>
      </c>
      <c r="DZ126" s="102"/>
      <c r="EA126" s="102">
        <v>12.1</v>
      </c>
      <c r="EB126" s="106"/>
      <c r="EC126" s="106"/>
      <c r="ED126" s="106"/>
      <c r="EE126" s="102"/>
    </row>
    <row r="127" spans="1:135" x14ac:dyDescent="0.1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3">
        <v>59.5</v>
      </c>
      <c r="DY127" s="102">
        <v>38.299999999999997</v>
      </c>
      <c r="DZ127" s="102"/>
      <c r="EA127" s="102">
        <v>12.2</v>
      </c>
      <c r="EB127" s="106"/>
      <c r="EC127" s="106"/>
      <c r="ED127" s="106"/>
      <c r="EE127" s="102"/>
    </row>
    <row r="128" spans="1:135" x14ac:dyDescent="0.1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3">
        <v>60</v>
      </c>
      <c r="DY128" s="102">
        <v>38.199999999999996</v>
      </c>
      <c r="DZ128" s="102"/>
      <c r="EA128" s="102">
        <v>12.3</v>
      </c>
      <c r="EB128" s="106"/>
      <c r="EC128" s="106"/>
      <c r="ED128" s="106"/>
      <c r="EE128" s="102"/>
    </row>
    <row r="129" spans="1:135" x14ac:dyDescent="0.1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3">
        <v>60.5</v>
      </c>
      <c r="DY129" s="102">
        <v>38.099999999999994</v>
      </c>
      <c r="DZ129" s="102"/>
      <c r="EA129" s="102">
        <v>12.4</v>
      </c>
      <c r="EB129" s="106"/>
      <c r="EC129" s="106"/>
      <c r="ED129" s="106"/>
      <c r="EE129" s="102"/>
    </row>
    <row r="130" spans="1:135" x14ac:dyDescent="0.1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3">
        <v>61</v>
      </c>
      <c r="DY130" s="102">
        <v>37.999999999999993</v>
      </c>
      <c r="DZ130" s="102"/>
      <c r="EA130" s="102">
        <v>12.5</v>
      </c>
      <c r="EB130" s="106"/>
      <c r="EC130" s="106"/>
      <c r="ED130" s="106"/>
      <c r="EE130" s="102"/>
    </row>
    <row r="131" spans="1:135" x14ac:dyDescent="0.1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3">
        <v>61.5</v>
      </c>
      <c r="DY131" s="102">
        <v>37.899999999999991</v>
      </c>
      <c r="DZ131" s="102"/>
      <c r="EA131" s="102">
        <v>12.6</v>
      </c>
      <c r="EB131" s="106"/>
      <c r="EC131" s="106"/>
      <c r="ED131" s="106"/>
      <c r="EE131" s="102"/>
    </row>
    <row r="132" spans="1:135" x14ac:dyDescent="0.1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3">
        <v>62</v>
      </c>
      <c r="DY132" s="102">
        <v>37.79999999999999</v>
      </c>
      <c r="DZ132" s="102"/>
      <c r="EA132" s="102">
        <v>12.7</v>
      </c>
      <c r="EB132" s="106"/>
      <c r="EC132" s="106"/>
      <c r="ED132" s="106"/>
      <c r="EE132" s="102"/>
    </row>
    <row r="133" spans="1:135" x14ac:dyDescent="0.1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3">
        <v>62.5</v>
      </c>
      <c r="DY133" s="102">
        <v>37.699999999999989</v>
      </c>
      <c r="DZ133" s="102"/>
      <c r="EA133" s="102">
        <v>12.8</v>
      </c>
      <c r="EB133" s="106"/>
      <c r="EC133" s="106"/>
      <c r="ED133" s="106"/>
      <c r="EE133" s="102"/>
    </row>
    <row r="134" spans="1:135" x14ac:dyDescent="0.1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3">
        <v>63</v>
      </c>
      <c r="DY134" s="102">
        <v>37.599999999999987</v>
      </c>
      <c r="DZ134" s="102"/>
      <c r="EA134" s="102">
        <v>12.9</v>
      </c>
      <c r="EB134" s="106"/>
      <c r="EC134" s="106"/>
      <c r="ED134" s="106"/>
      <c r="EE134" s="102"/>
    </row>
    <row r="135" spans="1:135" x14ac:dyDescent="0.1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3">
        <v>63.5</v>
      </c>
      <c r="DY135" s="102">
        <v>37.499999999999986</v>
      </c>
      <c r="DZ135" s="102"/>
      <c r="EA135" s="102">
        <v>13</v>
      </c>
      <c r="EB135" s="106"/>
      <c r="EC135" s="106"/>
      <c r="ED135" s="106"/>
      <c r="EE135" s="102"/>
    </row>
    <row r="136" spans="1:135" x14ac:dyDescent="0.1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3">
        <v>64</v>
      </c>
      <c r="DY136" s="102">
        <v>37.399999999999984</v>
      </c>
      <c r="DZ136" s="102"/>
      <c r="EA136" s="102">
        <v>13.1</v>
      </c>
      <c r="EB136" s="106"/>
      <c r="EC136" s="106"/>
      <c r="ED136" s="106"/>
      <c r="EE136" s="102"/>
    </row>
    <row r="137" spans="1:135" x14ac:dyDescent="0.1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3">
        <v>64.5</v>
      </c>
      <c r="DY137" s="102">
        <v>37.299999999999983</v>
      </c>
      <c r="DZ137" s="102"/>
      <c r="EA137" s="102">
        <v>13.2</v>
      </c>
      <c r="EB137" s="106"/>
      <c r="EC137" s="106"/>
      <c r="ED137" s="106"/>
      <c r="EE137" s="102"/>
    </row>
    <row r="138" spans="1:135" x14ac:dyDescent="0.1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3">
        <v>65</v>
      </c>
      <c r="DY138" s="102">
        <v>37.199999999999982</v>
      </c>
      <c r="DZ138" s="102"/>
      <c r="EA138" s="102">
        <v>13.3</v>
      </c>
      <c r="EB138" s="106"/>
      <c r="EC138" s="106"/>
      <c r="ED138" s="106"/>
      <c r="EE138" s="102"/>
    </row>
    <row r="139" spans="1:135" x14ac:dyDescent="0.1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3">
        <v>65.5</v>
      </c>
      <c r="DY139" s="102">
        <v>37.09999999999998</v>
      </c>
      <c r="DZ139" s="102"/>
      <c r="EA139" s="102">
        <v>13.4</v>
      </c>
      <c r="EB139" s="106"/>
      <c r="EC139" s="106"/>
      <c r="ED139" s="106"/>
      <c r="EE139" s="102"/>
    </row>
    <row r="140" spans="1:135" x14ac:dyDescent="0.1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3">
        <v>66</v>
      </c>
      <c r="DY140" s="102">
        <v>36.999999999999979</v>
      </c>
      <c r="DZ140" s="102"/>
      <c r="EA140" s="102">
        <v>13.5</v>
      </c>
      <c r="EB140" s="106"/>
      <c r="EC140" s="106"/>
      <c r="ED140" s="106"/>
      <c r="EE140" s="102"/>
    </row>
    <row r="141" spans="1:135" x14ac:dyDescent="0.1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3">
        <v>66.5</v>
      </c>
      <c r="DY141" s="102">
        <v>36.899999999999977</v>
      </c>
      <c r="DZ141" s="102"/>
      <c r="EA141" s="102">
        <v>13.6</v>
      </c>
      <c r="EB141" s="106"/>
      <c r="EC141" s="106"/>
      <c r="ED141" s="106"/>
      <c r="EE141" s="102"/>
    </row>
    <row r="142" spans="1:135" x14ac:dyDescent="0.1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3">
        <v>67</v>
      </c>
      <c r="DY142" s="102">
        <v>36.799999999999976</v>
      </c>
      <c r="DZ142" s="102"/>
      <c r="EA142" s="102">
        <v>13.7</v>
      </c>
      <c r="EB142" s="106"/>
      <c r="EC142" s="106"/>
      <c r="ED142" s="106"/>
      <c r="EE142" s="102"/>
    </row>
    <row r="143" spans="1:135" x14ac:dyDescent="0.15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3">
        <v>67.5</v>
      </c>
      <c r="DY143" s="102">
        <v>36.699999999999974</v>
      </c>
      <c r="DZ143" s="102"/>
      <c r="EA143" s="102">
        <v>13.8</v>
      </c>
      <c r="EB143" s="106"/>
      <c r="EC143" s="106"/>
      <c r="ED143" s="106"/>
      <c r="EE143" s="102"/>
    </row>
    <row r="144" spans="1:135" x14ac:dyDescent="0.1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3">
        <v>68</v>
      </c>
      <c r="DY144" s="102">
        <v>36.599999999999973</v>
      </c>
      <c r="DZ144" s="102"/>
      <c r="EA144" s="102">
        <v>13.9</v>
      </c>
      <c r="EB144" s="106"/>
      <c r="EC144" s="106"/>
      <c r="ED144" s="106"/>
      <c r="EE144" s="102"/>
    </row>
    <row r="145" spans="1:135" x14ac:dyDescent="0.1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3">
        <v>68.5</v>
      </c>
      <c r="DY145" s="102">
        <v>36.499999999999972</v>
      </c>
      <c r="DZ145" s="102"/>
      <c r="EA145" s="102">
        <v>14</v>
      </c>
      <c r="EB145" s="106"/>
      <c r="EC145" s="106"/>
      <c r="ED145" s="106"/>
      <c r="EE145" s="102"/>
    </row>
    <row r="146" spans="1:135" x14ac:dyDescent="0.1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3">
        <v>69</v>
      </c>
      <c r="DY146" s="102">
        <v>36.39999999999997</v>
      </c>
      <c r="DZ146" s="102"/>
      <c r="EA146" s="102">
        <v>14.1</v>
      </c>
      <c r="EB146" s="106"/>
      <c r="EC146" s="106"/>
      <c r="ED146" s="106"/>
      <c r="EE146" s="102"/>
    </row>
    <row r="147" spans="1:135" x14ac:dyDescent="0.1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3">
        <v>69.5</v>
      </c>
      <c r="DY147" s="102">
        <v>36.299999999999969</v>
      </c>
      <c r="DZ147" s="102"/>
      <c r="EA147" s="102">
        <v>14.2</v>
      </c>
      <c r="EB147" s="106"/>
      <c r="EC147" s="106"/>
      <c r="ED147" s="106"/>
      <c r="EE147" s="102"/>
    </row>
    <row r="148" spans="1:135" x14ac:dyDescent="0.1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3">
        <v>70</v>
      </c>
      <c r="DY148" s="102">
        <v>36.199999999999967</v>
      </c>
      <c r="DZ148" s="102"/>
      <c r="EA148" s="102">
        <v>14.3</v>
      </c>
      <c r="EB148" s="106"/>
      <c r="EC148" s="106"/>
      <c r="ED148" s="106"/>
      <c r="EE148" s="102"/>
    </row>
    <row r="149" spans="1:135" x14ac:dyDescent="0.1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3">
        <v>70.5</v>
      </c>
      <c r="DY149" s="102">
        <v>36.099999999999966</v>
      </c>
      <c r="DZ149" s="102"/>
      <c r="EA149" s="102">
        <v>14.4</v>
      </c>
      <c r="EB149" s="106"/>
      <c r="EC149" s="106"/>
      <c r="ED149" s="106"/>
      <c r="EE149" s="102"/>
    </row>
    <row r="150" spans="1:135" x14ac:dyDescent="0.1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3">
        <v>71</v>
      </c>
      <c r="DY150" s="102">
        <v>35.999999999999964</v>
      </c>
      <c r="DZ150" s="102"/>
      <c r="EA150" s="102">
        <v>14.5</v>
      </c>
      <c r="EB150" s="106"/>
      <c r="EC150" s="106"/>
      <c r="ED150" s="106"/>
      <c r="EE150" s="102"/>
    </row>
    <row r="151" spans="1:135" x14ac:dyDescent="0.1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3">
        <v>71.5</v>
      </c>
      <c r="DY151" s="102">
        <v>35.899999999999963</v>
      </c>
      <c r="DZ151" s="102"/>
      <c r="EA151" s="102">
        <v>14.6</v>
      </c>
      <c r="EB151" s="106"/>
      <c r="EC151" s="106"/>
      <c r="ED151" s="106"/>
      <c r="EE151" s="102"/>
    </row>
    <row r="152" spans="1:135" x14ac:dyDescent="0.1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3">
        <v>72</v>
      </c>
      <c r="DY152" s="102">
        <v>35.799999999999962</v>
      </c>
      <c r="DZ152" s="102"/>
      <c r="EA152" s="102">
        <v>14.7</v>
      </c>
      <c r="EB152" s="106"/>
      <c r="EC152" s="106"/>
      <c r="ED152" s="106"/>
      <c r="EE152" s="102"/>
    </row>
    <row r="153" spans="1:135" x14ac:dyDescent="0.1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3">
        <v>72.5</v>
      </c>
      <c r="DY153" s="102">
        <v>35.69999999999996</v>
      </c>
      <c r="DZ153" s="102"/>
      <c r="EA153" s="102">
        <v>14.8</v>
      </c>
      <c r="EB153" s="106"/>
      <c r="EC153" s="106"/>
      <c r="ED153" s="106"/>
      <c r="EE153" s="102"/>
    </row>
    <row r="154" spans="1:135" x14ac:dyDescent="0.15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3">
        <v>73</v>
      </c>
      <c r="DY154" s="102">
        <v>35.599999999999959</v>
      </c>
      <c r="DZ154" s="102"/>
      <c r="EA154" s="102">
        <v>14.9</v>
      </c>
      <c r="EB154" s="106"/>
      <c r="EC154" s="106"/>
      <c r="ED154" s="106"/>
      <c r="EE154" s="102"/>
    </row>
    <row r="155" spans="1:135" x14ac:dyDescent="0.1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3">
        <v>73.5</v>
      </c>
      <c r="DY155" s="102">
        <v>35.499999999999957</v>
      </c>
      <c r="DZ155" s="102"/>
      <c r="EA155" s="102">
        <v>15</v>
      </c>
      <c r="EB155" s="106"/>
      <c r="EC155" s="106"/>
      <c r="ED155" s="106"/>
      <c r="EE155" s="102"/>
    </row>
    <row r="156" spans="1:135" x14ac:dyDescent="0.1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3">
        <v>74</v>
      </c>
      <c r="DY156" s="102">
        <v>35.399999999999956</v>
      </c>
      <c r="DZ156" s="102"/>
      <c r="EA156" s="102">
        <v>15.1</v>
      </c>
      <c r="EB156" s="106"/>
      <c r="EC156" s="106"/>
      <c r="ED156" s="106"/>
      <c r="EE156" s="102"/>
    </row>
    <row r="157" spans="1:135" x14ac:dyDescent="0.1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3">
        <v>74.5</v>
      </c>
      <c r="DY157" s="102">
        <v>35.299999999999955</v>
      </c>
      <c r="DZ157" s="102"/>
      <c r="EA157" s="102">
        <v>15.2</v>
      </c>
      <c r="EB157" s="106"/>
      <c r="EC157" s="106"/>
      <c r="ED157" s="106"/>
      <c r="EE157" s="102"/>
    </row>
    <row r="158" spans="1:135" x14ac:dyDescent="0.1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3">
        <v>75</v>
      </c>
      <c r="DY158" s="102">
        <v>35.199999999999953</v>
      </c>
      <c r="DZ158" s="102"/>
      <c r="EA158" s="102">
        <v>15.3</v>
      </c>
      <c r="EB158" s="106"/>
      <c r="EC158" s="106"/>
      <c r="ED158" s="106"/>
      <c r="EE158" s="102"/>
    </row>
    <row r="159" spans="1:135" x14ac:dyDescent="0.1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3">
        <v>75.5</v>
      </c>
      <c r="DY159" s="102">
        <v>35.099999999999952</v>
      </c>
      <c r="DZ159" s="102"/>
      <c r="EA159" s="102">
        <v>15.4</v>
      </c>
      <c r="EB159" s="106"/>
      <c r="EC159" s="106"/>
      <c r="ED159" s="106"/>
      <c r="EE159" s="102"/>
    </row>
    <row r="160" spans="1:135" x14ac:dyDescent="0.1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3">
        <v>76</v>
      </c>
      <c r="DY160" s="102">
        <v>34.99999999999995</v>
      </c>
      <c r="DZ160" s="102"/>
      <c r="EA160" s="102">
        <v>15.5</v>
      </c>
      <c r="EB160" s="106"/>
      <c r="EC160" s="106"/>
      <c r="ED160" s="106"/>
      <c r="EE160" s="102"/>
    </row>
    <row r="161" spans="1:135" x14ac:dyDescent="0.1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3">
        <v>76.5</v>
      </c>
      <c r="DY161" s="102">
        <v>34.9</v>
      </c>
      <c r="DZ161" s="102"/>
      <c r="EA161" s="102">
        <v>15.6</v>
      </c>
      <c r="EB161" s="106"/>
      <c r="EC161" s="106"/>
      <c r="ED161" s="106"/>
      <c r="EE161" s="102"/>
    </row>
    <row r="162" spans="1:135" x14ac:dyDescent="0.1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3">
        <v>77</v>
      </c>
      <c r="DY162" s="102">
        <v>34.799999999999997</v>
      </c>
      <c r="DZ162" s="102"/>
      <c r="EA162" s="102">
        <v>15.7</v>
      </c>
      <c r="EB162" s="106"/>
      <c r="EC162" s="106"/>
      <c r="ED162" s="106"/>
      <c r="EE162" s="102"/>
    </row>
    <row r="163" spans="1:135" x14ac:dyDescent="0.1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3">
        <v>77.5</v>
      </c>
      <c r="DY163" s="102">
        <v>34.700000000000003</v>
      </c>
      <c r="DZ163" s="102"/>
      <c r="EA163" s="102">
        <v>15.8</v>
      </c>
      <c r="EB163" s="106"/>
      <c r="EC163" s="106"/>
      <c r="ED163" s="106"/>
      <c r="EE163" s="102"/>
    </row>
    <row r="164" spans="1:135" x14ac:dyDescent="0.1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3">
        <v>78</v>
      </c>
      <c r="DY164" s="102">
        <v>34.6</v>
      </c>
      <c r="DZ164" s="102"/>
      <c r="EA164" s="102">
        <v>15.9</v>
      </c>
      <c r="EB164" s="106"/>
      <c r="EC164" s="106"/>
      <c r="ED164" s="106"/>
      <c r="EE164" s="102"/>
    </row>
    <row r="165" spans="1:135" x14ac:dyDescent="0.1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3">
        <v>78.5</v>
      </c>
      <c r="DY165" s="102">
        <v>34.5</v>
      </c>
      <c r="DZ165" s="102"/>
      <c r="EA165" s="102">
        <v>16</v>
      </c>
      <c r="EB165" s="106"/>
      <c r="EC165" s="106"/>
      <c r="ED165" s="106"/>
      <c r="EE165" s="102"/>
    </row>
    <row r="166" spans="1:135" x14ac:dyDescent="0.1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3">
        <v>79</v>
      </c>
      <c r="DY166" s="102">
        <v>34.4</v>
      </c>
      <c r="DZ166" s="102"/>
      <c r="EA166" s="102">
        <v>16.100000000000001</v>
      </c>
      <c r="EB166" s="106"/>
      <c r="EC166" s="106"/>
      <c r="ED166" s="106"/>
      <c r="EE166" s="102"/>
    </row>
    <row r="167" spans="1:135" x14ac:dyDescent="0.1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102"/>
      <c r="DO167" s="102"/>
      <c r="DP167" s="102"/>
      <c r="DQ167" s="102"/>
      <c r="DR167" s="102"/>
      <c r="DS167" s="102"/>
      <c r="DT167" s="102"/>
      <c r="DU167" s="102"/>
      <c r="DV167" s="102"/>
      <c r="DW167" s="102"/>
      <c r="DX167" s="103">
        <v>79.5</v>
      </c>
      <c r="DY167" s="102">
        <v>34.299999999999997</v>
      </c>
      <c r="DZ167" s="102"/>
      <c r="EA167" s="102">
        <v>16.2</v>
      </c>
      <c r="EB167" s="106"/>
      <c r="EC167" s="106"/>
      <c r="ED167" s="106"/>
      <c r="EE167" s="102"/>
    </row>
    <row r="168" spans="1:135" x14ac:dyDescent="0.1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3">
        <v>80</v>
      </c>
      <c r="DY168" s="102">
        <v>34.200000000000003</v>
      </c>
      <c r="DZ168" s="102"/>
      <c r="EA168" s="102">
        <v>16.3</v>
      </c>
      <c r="EB168" s="106"/>
      <c r="EC168" s="106"/>
      <c r="ED168" s="106"/>
      <c r="EE168" s="102"/>
    </row>
    <row r="169" spans="1:135" x14ac:dyDescent="0.1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/>
      <c r="DR169" s="102"/>
      <c r="DS169" s="102"/>
      <c r="DT169" s="102"/>
      <c r="DU169" s="102"/>
      <c r="DV169" s="102"/>
      <c r="DW169" s="102"/>
      <c r="DX169" s="103">
        <v>80.5</v>
      </c>
      <c r="DY169" s="102">
        <v>34.1</v>
      </c>
      <c r="DZ169" s="102"/>
      <c r="EA169" s="102">
        <v>16.399999999999999</v>
      </c>
      <c r="EB169" s="106"/>
      <c r="EC169" s="106"/>
      <c r="ED169" s="106"/>
      <c r="EE169" s="102"/>
    </row>
    <row r="170" spans="1:135" x14ac:dyDescent="0.1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3">
        <v>81</v>
      </c>
      <c r="DY170" s="102">
        <v>34</v>
      </c>
      <c r="DZ170" s="102"/>
      <c r="EA170" s="102">
        <v>16.5</v>
      </c>
      <c r="EB170" s="106"/>
      <c r="EC170" s="106"/>
      <c r="ED170" s="106"/>
      <c r="EE170" s="102"/>
    </row>
    <row r="171" spans="1:135" x14ac:dyDescent="0.1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3">
        <v>81.5</v>
      </c>
      <c r="DY171" s="102">
        <v>33.9</v>
      </c>
      <c r="DZ171" s="102"/>
      <c r="EA171" s="102">
        <v>16.600000000000001</v>
      </c>
      <c r="EB171" s="106"/>
      <c r="EC171" s="106"/>
      <c r="ED171" s="106"/>
      <c r="EE171" s="102"/>
    </row>
    <row r="172" spans="1:135" x14ac:dyDescent="0.1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3">
        <v>82</v>
      </c>
      <c r="DY172" s="102">
        <v>33.799999999999997</v>
      </c>
      <c r="DZ172" s="102"/>
      <c r="EA172" s="102">
        <v>16.7</v>
      </c>
      <c r="EB172" s="106"/>
      <c r="EC172" s="106"/>
      <c r="ED172" s="106"/>
      <c r="EE172" s="102"/>
    </row>
    <row r="173" spans="1:135" x14ac:dyDescent="0.1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3">
        <v>82.5</v>
      </c>
      <c r="DY173" s="102">
        <v>33.700000000000003</v>
      </c>
      <c r="DZ173" s="102"/>
      <c r="EA173" s="102">
        <v>16.8</v>
      </c>
      <c r="EB173" s="106"/>
      <c r="EC173" s="106"/>
      <c r="ED173" s="106"/>
      <c r="EE173" s="102"/>
    </row>
    <row r="174" spans="1:135" x14ac:dyDescent="0.1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3">
        <v>83</v>
      </c>
      <c r="DY174" s="102">
        <v>33.6</v>
      </c>
      <c r="DZ174" s="102"/>
      <c r="EA174" s="102">
        <v>16.899999999999999</v>
      </c>
      <c r="EB174" s="106"/>
      <c r="EC174" s="106"/>
      <c r="ED174" s="106"/>
      <c r="EE174" s="102"/>
    </row>
    <row r="175" spans="1:135" x14ac:dyDescent="0.1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3">
        <v>83.5</v>
      </c>
      <c r="DY175" s="102">
        <v>33.5</v>
      </c>
      <c r="DZ175" s="102"/>
      <c r="EA175" s="102">
        <v>17</v>
      </c>
      <c r="EB175" s="106"/>
      <c r="EC175" s="106"/>
      <c r="ED175" s="106"/>
      <c r="EE175" s="102"/>
    </row>
    <row r="176" spans="1:135" x14ac:dyDescent="0.1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2"/>
      <c r="DT176" s="102"/>
      <c r="DU176" s="102"/>
      <c r="DV176" s="102"/>
      <c r="DW176" s="102"/>
      <c r="DX176" s="103">
        <v>84</v>
      </c>
      <c r="DY176" s="102">
        <v>33.4</v>
      </c>
      <c r="DZ176" s="102"/>
      <c r="EA176" s="102">
        <v>17.100000000000001</v>
      </c>
      <c r="EB176" s="106"/>
      <c r="EC176" s="106"/>
      <c r="ED176" s="106"/>
      <c r="EE176" s="102"/>
    </row>
    <row r="177" spans="1:135" x14ac:dyDescent="0.1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  <c r="CW177" s="102"/>
      <c r="CX177" s="102"/>
      <c r="CY177" s="102"/>
      <c r="CZ177" s="102"/>
      <c r="DA177" s="102"/>
      <c r="DB177" s="102"/>
      <c r="DC177" s="102"/>
      <c r="DD177" s="102"/>
      <c r="DE177" s="102"/>
      <c r="DF177" s="102"/>
      <c r="DG177" s="102"/>
      <c r="DH177" s="102"/>
      <c r="DI177" s="102"/>
      <c r="DJ177" s="102"/>
      <c r="DK177" s="102"/>
      <c r="DL177" s="102"/>
      <c r="DM177" s="102"/>
      <c r="DN177" s="102"/>
      <c r="DO177" s="102"/>
      <c r="DP177" s="102"/>
      <c r="DQ177" s="102"/>
      <c r="DR177" s="102"/>
      <c r="DS177" s="102"/>
      <c r="DT177" s="102"/>
      <c r="DU177" s="102"/>
      <c r="DV177" s="102"/>
      <c r="DW177" s="102"/>
      <c r="DX177" s="103">
        <v>84.5</v>
      </c>
      <c r="DY177" s="102">
        <v>33.299999999999997</v>
      </c>
      <c r="DZ177" s="102"/>
      <c r="EA177" s="102">
        <v>17.2</v>
      </c>
      <c r="EB177" s="106"/>
      <c r="EC177" s="106"/>
      <c r="ED177" s="106"/>
      <c r="EE177" s="102"/>
    </row>
    <row r="178" spans="1:135" x14ac:dyDescent="0.1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3">
        <v>85</v>
      </c>
      <c r="DY178" s="102">
        <v>33.200000000000003</v>
      </c>
      <c r="DZ178" s="102"/>
      <c r="EA178" s="102">
        <v>17.3</v>
      </c>
      <c r="EB178" s="106"/>
      <c r="EC178" s="106"/>
      <c r="ED178" s="106"/>
      <c r="EE178" s="102"/>
    </row>
    <row r="179" spans="1:135" x14ac:dyDescent="0.1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3">
        <v>85.5</v>
      </c>
      <c r="DY179" s="102">
        <v>33.1</v>
      </c>
      <c r="DZ179" s="102"/>
      <c r="EA179" s="102">
        <v>17.399999999999999</v>
      </c>
      <c r="EB179" s="106"/>
      <c r="EC179" s="106"/>
      <c r="ED179" s="106"/>
      <c r="EE179" s="102"/>
    </row>
    <row r="180" spans="1:135" x14ac:dyDescent="0.1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3">
        <v>86</v>
      </c>
      <c r="DY180" s="102">
        <v>33</v>
      </c>
      <c r="DZ180" s="102"/>
      <c r="EA180" s="102">
        <v>17.5</v>
      </c>
      <c r="EB180" s="106"/>
      <c r="EC180" s="106"/>
      <c r="ED180" s="106"/>
      <c r="EE180" s="102"/>
    </row>
    <row r="181" spans="1:135" x14ac:dyDescent="0.1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3">
        <v>86.5</v>
      </c>
      <c r="DY181" s="102">
        <v>32.9</v>
      </c>
      <c r="DZ181" s="102"/>
      <c r="EA181" s="102">
        <v>17.600000000000001</v>
      </c>
      <c r="EB181" s="106"/>
      <c r="EC181" s="106"/>
      <c r="ED181" s="106"/>
      <c r="EE181" s="102"/>
    </row>
    <row r="182" spans="1:135" x14ac:dyDescent="0.1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3">
        <v>87</v>
      </c>
      <c r="DY182" s="102">
        <v>32.799999999999997</v>
      </c>
      <c r="DZ182" s="102"/>
      <c r="EA182" s="102">
        <v>17.7</v>
      </c>
      <c r="EB182" s="106"/>
      <c r="EC182" s="106"/>
      <c r="ED182" s="106"/>
      <c r="EE182" s="102"/>
    </row>
    <row r="183" spans="1:135" x14ac:dyDescent="0.1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3">
        <v>87.5</v>
      </c>
      <c r="DY183" s="102">
        <v>32.700000000000003</v>
      </c>
      <c r="DZ183" s="102"/>
      <c r="EA183" s="102">
        <v>17.8</v>
      </c>
      <c r="EB183" s="106"/>
      <c r="EC183" s="106"/>
      <c r="ED183" s="106"/>
      <c r="EE183" s="102"/>
    </row>
    <row r="184" spans="1:135" x14ac:dyDescent="0.1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3">
        <v>88</v>
      </c>
      <c r="DY184" s="102">
        <v>32.6</v>
      </c>
      <c r="DZ184" s="102"/>
      <c r="EA184" s="102">
        <v>17.899999999999999</v>
      </c>
      <c r="EB184" s="106"/>
      <c r="EC184" s="106"/>
      <c r="ED184" s="106"/>
      <c r="EE184" s="102"/>
    </row>
    <row r="185" spans="1:135" x14ac:dyDescent="0.1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3">
        <v>88.5</v>
      </c>
      <c r="DY185" s="102">
        <v>32.5</v>
      </c>
      <c r="DZ185" s="102"/>
      <c r="EA185" s="102">
        <v>18</v>
      </c>
      <c r="EB185" s="106"/>
      <c r="EC185" s="106"/>
      <c r="ED185" s="106"/>
      <c r="EE185" s="102"/>
    </row>
    <row r="186" spans="1:135" x14ac:dyDescent="0.15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  <c r="CW186" s="102"/>
      <c r="CX186" s="102"/>
      <c r="CY186" s="102"/>
      <c r="CZ186" s="102"/>
      <c r="DA186" s="102"/>
      <c r="DB186" s="102"/>
      <c r="DC186" s="102"/>
      <c r="DD186" s="102"/>
      <c r="DE186" s="102"/>
      <c r="DF186" s="102"/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/>
      <c r="DR186" s="102"/>
      <c r="DS186" s="102"/>
      <c r="DT186" s="102"/>
      <c r="DU186" s="102"/>
      <c r="DV186" s="102"/>
      <c r="DW186" s="102"/>
      <c r="DX186" s="103">
        <v>89</v>
      </c>
      <c r="DY186" s="102">
        <v>32.4</v>
      </c>
      <c r="DZ186" s="102"/>
      <c r="EA186" s="102">
        <v>18.100000000000001</v>
      </c>
      <c r="EB186" s="106"/>
      <c r="EC186" s="106"/>
      <c r="ED186" s="106"/>
      <c r="EE186" s="102"/>
    </row>
    <row r="187" spans="1:135" x14ac:dyDescent="0.15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/>
      <c r="DP187" s="102"/>
      <c r="DQ187" s="102"/>
      <c r="DR187" s="102"/>
      <c r="DS187" s="102"/>
      <c r="DT187" s="102"/>
      <c r="DU187" s="102"/>
      <c r="DV187" s="102"/>
      <c r="DW187" s="102"/>
      <c r="DX187" s="103">
        <v>89.5</v>
      </c>
      <c r="DY187" s="102">
        <v>32.299999999999997</v>
      </c>
      <c r="DZ187" s="102"/>
      <c r="EA187" s="102">
        <v>18.2</v>
      </c>
      <c r="EB187" s="106"/>
      <c r="EC187" s="106"/>
      <c r="ED187" s="106"/>
      <c r="EE187" s="102"/>
    </row>
    <row r="188" spans="1:135" x14ac:dyDescent="0.15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3">
        <v>90</v>
      </c>
      <c r="DY188" s="102">
        <v>32.200000000000003</v>
      </c>
      <c r="DZ188" s="102"/>
      <c r="EA188" s="102">
        <v>18.3</v>
      </c>
      <c r="EB188" s="106"/>
      <c r="EC188" s="106"/>
      <c r="ED188" s="106"/>
      <c r="EE188" s="102"/>
    </row>
    <row r="189" spans="1:135" x14ac:dyDescent="0.15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3">
        <v>90.5</v>
      </c>
      <c r="DY189" s="102">
        <v>32.1</v>
      </c>
      <c r="DZ189" s="102"/>
      <c r="EA189" s="102">
        <v>18.399999999999999</v>
      </c>
      <c r="EB189" s="106"/>
      <c r="EC189" s="106"/>
      <c r="ED189" s="106"/>
      <c r="EE189" s="102"/>
    </row>
    <row r="190" spans="1:135" x14ac:dyDescent="0.15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3">
        <v>91</v>
      </c>
      <c r="DY190" s="102">
        <v>32</v>
      </c>
      <c r="DZ190" s="102"/>
      <c r="EA190" s="102">
        <v>18.5</v>
      </c>
      <c r="EB190" s="106"/>
      <c r="EC190" s="106"/>
      <c r="ED190" s="106"/>
      <c r="EE190" s="102"/>
    </row>
    <row r="191" spans="1:135" x14ac:dyDescent="0.15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  <c r="CW191" s="102"/>
      <c r="CX191" s="102"/>
      <c r="CY191" s="102"/>
      <c r="CZ191" s="102"/>
      <c r="DA191" s="102"/>
      <c r="DB191" s="102"/>
      <c r="DC191" s="102"/>
      <c r="DD191" s="102"/>
      <c r="DE191" s="102"/>
      <c r="DF191" s="102"/>
      <c r="DG191" s="102"/>
      <c r="DH191" s="102"/>
      <c r="DI191" s="102"/>
      <c r="DJ191" s="102"/>
      <c r="DK191" s="102"/>
      <c r="DL191" s="102"/>
      <c r="DM191" s="102"/>
      <c r="DN191" s="102"/>
      <c r="DO191" s="102"/>
      <c r="DP191" s="102"/>
      <c r="DQ191" s="102"/>
      <c r="DR191" s="102"/>
      <c r="DS191" s="102"/>
      <c r="DT191" s="102"/>
      <c r="DU191" s="102"/>
      <c r="DV191" s="102"/>
      <c r="DW191" s="102"/>
      <c r="DX191" s="103">
        <v>91.5</v>
      </c>
      <c r="DY191" s="102">
        <v>31.9</v>
      </c>
      <c r="DZ191" s="102"/>
      <c r="EA191" s="102">
        <v>18.600000000000001</v>
      </c>
      <c r="EB191" s="106"/>
      <c r="EC191" s="106"/>
      <c r="ED191" s="106"/>
      <c r="EE191" s="102"/>
    </row>
    <row r="192" spans="1:135" x14ac:dyDescent="0.15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  <c r="CW192" s="102"/>
      <c r="CX192" s="102"/>
      <c r="CY192" s="102"/>
      <c r="CZ192" s="102"/>
      <c r="DA192" s="102"/>
      <c r="DB192" s="102"/>
      <c r="DC192" s="102"/>
      <c r="DD192" s="102"/>
      <c r="DE192" s="102"/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/>
      <c r="DR192" s="102"/>
      <c r="DS192" s="102"/>
      <c r="DT192" s="102"/>
      <c r="DU192" s="102"/>
      <c r="DV192" s="102"/>
      <c r="DW192" s="102"/>
      <c r="DX192" s="103">
        <v>92</v>
      </c>
      <c r="DY192" s="102">
        <v>31.8</v>
      </c>
      <c r="DZ192" s="102"/>
      <c r="EA192" s="102">
        <v>18.7</v>
      </c>
      <c r="EB192" s="106"/>
      <c r="EC192" s="106"/>
      <c r="ED192" s="106"/>
      <c r="EE192" s="102"/>
    </row>
    <row r="193" spans="1:135" x14ac:dyDescent="0.15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  <c r="DF193" s="102"/>
      <c r="DG193" s="102"/>
      <c r="DH193" s="102"/>
      <c r="DI193" s="102"/>
      <c r="DJ193" s="102"/>
      <c r="DK193" s="102"/>
      <c r="DL193" s="102"/>
      <c r="DM193" s="102"/>
      <c r="DN193" s="102"/>
      <c r="DO193" s="102"/>
      <c r="DP193" s="102"/>
      <c r="DQ193" s="102"/>
      <c r="DR193" s="102"/>
      <c r="DS193" s="102"/>
      <c r="DT193" s="102"/>
      <c r="DU193" s="102"/>
      <c r="DV193" s="102"/>
      <c r="DW193" s="102"/>
      <c r="DX193" s="103">
        <v>92.5</v>
      </c>
      <c r="DY193" s="102">
        <v>31.7</v>
      </c>
      <c r="DZ193" s="102"/>
      <c r="EA193" s="102">
        <v>18.8</v>
      </c>
      <c r="EB193" s="106"/>
      <c r="EC193" s="106"/>
      <c r="ED193" s="106"/>
      <c r="EE193" s="102"/>
    </row>
    <row r="194" spans="1:135" x14ac:dyDescent="0.15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3">
        <v>93</v>
      </c>
      <c r="DY194" s="102">
        <v>31.6</v>
      </c>
      <c r="DZ194" s="102"/>
      <c r="EA194" s="102">
        <v>18.899999999999999</v>
      </c>
      <c r="EB194" s="106"/>
      <c r="EC194" s="106"/>
      <c r="ED194" s="106"/>
      <c r="EE194" s="102"/>
    </row>
    <row r="195" spans="1:135" x14ac:dyDescent="0.15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3">
        <v>93.5</v>
      </c>
      <c r="DY195" s="102">
        <v>31.5</v>
      </c>
      <c r="DZ195" s="102"/>
      <c r="EA195" s="102">
        <v>19</v>
      </c>
      <c r="EB195" s="106"/>
      <c r="EC195" s="106"/>
      <c r="ED195" s="106"/>
      <c r="EE195" s="102"/>
    </row>
    <row r="196" spans="1:135" x14ac:dyDescent="0.15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3">
        <v>94</v>
      </c>
      <c r="DY196" s="102">
        <v>31.4</v>
      </c>
      <c r="DZ196" s="102"/>
      <c r="EA196" s="102">
        <v>19.100000000000001</v>
      </c>
      <c r="EB196" s="106"/>
      <c r="EC196" s="106"/>
      <c r="ED196" s="106"/>
      <c r="EE196" s="102"/>
    </row>
    <row r="197" spans="1:135" x14ac:dyDescent="0.15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3">
        <v>94.5</v>
      </c>
      <c r="DY197" s="102">
        <v>31.3</v>
      </c>
      <c r="DZ197" s="102"/>
      <c r="EA197" s="102">
        <v>19.2</v>
      </c>
      <c r="EB197" s="106"/>
      <c r="EC197" s="106"/>
      <c r="ED197" s="106"/>
      <c r="EE197" s="102"/>
    </row>
    <row r="198" spans="1:135" x14ac:dyDescent="0.15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3">
        <v>95</v>
      </c>
      <c r="DY198" s="102">
        <v>31.2</v>
      </c>
      <c r="DZ198" s="102"/>
      <c r="EA198" s="102">
        <v>19.3</v>
      </c>
      <c r="EB198" s="106"/>
      <c r="EC198" s="106"/>
      <c r="ED198" s="106"/>
      <c r="EE198" s="102"/>
    </row>
    <row r="199" spans="1:135" x14ac:dyDescent="0.15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3">
        <v>95.5</v>
      </c>
      <c r="DY199" s="102">
        <v>31.1</v>
      </c>
      <c r="DZ199" s="102"/>
      <c r="EA199" s="102">
        <v>19.399999999999999</v>
      </c>
      <c r="EB199" s="106"/>
      <c r="EC199" s="106"/>
      <c r="ED199" s="106"/>
      <c r="EE199" s="102"/>
    </row>
    <row r="200" spans="1:135" x14ac:dyDescent="0.15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3">
        <v>96</v>
      </c>
      <c r="DY200" s="102">
        <v>31</v>
      </c>
      <c r="DZ200" s="102"/>
      <c r="EA200" s="102">
        <v>19.5</v>
      </c>
      <c r="EB200" s="106"/>
      <c r="EC200" s="106"/>
      <c r="ED200" s="106"/>
      <c r="EE200" s="102"/>
    </row>
    <row r="201" spans="1:135" x14ac:dyDescent="0.15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3">
        <v>96.5</v>
      </c>
      <c r="DY201" s="102">
        <v>30.9</v>
      </c>
      <c r="DZ201" s="102"/>
      <c r="EA201" s="102">
        <v>19.600000000000001</v>
      </c>
      <c r="EB201" s="106"/>
      <c r="EC201" s="106"/>
      <c r="ED201" s="106"/>
      <c r="EE201" s="102"/>
    </row>
    <row r="202" spans="1:135" x14ac:dyDescent="0.15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3">
        <v>97</v>
      </c>
      <c r="DY202" s="102">
        <v>30.8</v>
      </c>
      <c r="DZ202" s="102"/>
      <c r="EA202" s="102">
        <v>19.7</v>
      </c>
      <c r="EB202" s="106"/>
      <c r="EC202" s="106"/>
      <c r="ED202" s="106"/>
      <c r="EE202" s="102"/>
    </row>
    <row r="203" spans="1:135" x14ac:dyDescent="0.15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3">
        <v>97.5</v>
      </c>
      <c r="DY203" s="102">
        <v>30.7</v>
      </c>
      <c r="DZ203" s="102"/>
      <c r="EA203" s="102">
        <v>19.8</v>
      </c>
      <c r="EB203" s="106"/>
      <c r="EC203" s="106"/>
      <c r="ED203" s="106"/>
      <c r="EE203" s="102"/>
    </row>
    <row r="204" spans="1:135" x14ac:dyDescent="0.15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3">
        <v>98</v>
      </c>
      <c r="DY204" s="102">
        <v>30.6</v>
      </c>
      <c r="DZ204" s="102"/>
      <c r="EA204" s="102">
        <v>19.899999999999999</v>
      </c>
      <c r="EB204" s="106"/>
      <c r="EC204" s="106"/>
      <c r="ED204" s="106"/>
      <c r="EE204" s="102"/>
    </row>
    <row r="205" spans="1:135" x14ac:dyDescent="0.15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3">
        <v>98.5</v>
      </c>
      <c r="DY205" s="102">
        <v>30.5</v>
      </c>
      <c r="DZ205" s="102"/>
      <c r="EA205" s="102">
        <v>20</v>
      </c>
      <c r="EB205" s="106"/>
      <c r="EC205" s="106"/>
      <c r="ED205" s="106"/>
      <c r="EE205" s="102"/>
    </row>
    <row r="206" spans="1:135" x14ac:dyDescent="0.15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3">
        <v>99</v>
      </c>
      <c r="DY206" s="102">
        <v>30.4</v>
      </c>
      <c r="DZ206" s="102"/>
      <c r="EA206" s="102"/>
      <c r="EB206" s="106"/>
      <c r="EC206" s="106"/>
      <c r="ED206" s="106"/>
      <c r="EE206" s="102"/>
    </row>
    <row r="207" spans="1:135" x14ac:dyDescent="0.15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3">
        <v>99.5</v>
      </c>
      <c r="DY207" s="102">
        <v>30.3</v>
      </c>
      <c r="DZ207" s="102"/>
      <c r="EA207" s="102"/>
      <c r="EB207" s="106"/>
      <c r="EC207" s="106"/>
      <c r="ED207" s="106"/>
      <c r="EE207" s="102"/>
    </row>
    <row r="208" spans="1:135" x14ac:dyDescent="0.15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4">
        <v>100</v>
      </c>
      <c r="DY208" s="102">
        <v>30.2</v>
      </c>
      <c r="DZ208" s="102"/>
      <c r="EA208" s="102"/>
      <c r="EB208" s="106"/>
      <c r="EC208" s="106"/>
      <c r="ED208" s="106"/>
      <c r="EE208" s="102"/>
    </row>
    <row r="209" spans="1:135" x14ac:dyDescent="0.15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4">
        <v>105</v>
      </c>
      <c r="DY209" s="102">
        <v>30.1</v>
      </c>
      <c r="DZ209" s="102"/>
      <c r="EA209" s="102"/>
      <c r="EB209" s="106"/>
      <c r="EC209" s="106"/>
      <c r="ED209" s="106"/>
      <c r="EE209" s="102"/>
    </row>
    <row r="210" spans="1:135" x14ac:dyDescent="0.15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4">
        <v>110</v>
      </c>
      <c r="DY210" s="102">
        <v>30</v>
      </c>
      <c r="DZ210" s="102"/>
      <c r="EA210" s="102"/>
      <c r="EB210" s="106"/>
      <c r="EC210" s="106"/>
      <c r="ED210" s="106"/>
      <c r="EE210" s="102"/>
    </row>
    <row r="211" spans="1:135" x14ac:dyDescent="0.15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4">
        <v>115</v>
      </c>
      <c r="DY211" s="102">
        <v>29.9</v>
      </c>
      <c r="DZ211" s="102"/>
      <c r="EA211" s="102"/>
      <c r="EB211" s="106"/>
      <c r="EC211" s="106"/>
      <c r="ED211" s="106"/>
      <c r="EE211" s="102"/>
    </row>
    <row r="212" spans="1:135" x14ac:dyDescent="0.15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4">
        <v>120</v>
      </c>
      <c r="DY212" s="102">
        <v>29.8</v>
      </c>
      <c r="DZ212" s="102"/>
      <c r="EA212" s="102"/>
      <c r="EB212" s="106"/>
      <c r="EC212" s="106"/>
      <c r="ED212" s="106"/>
      <c r="EE212" s="102"/>
    </row>
    <row r="213" spans="1:135" x14ac:dyDescent="0.15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4">
        <v>125</v>
      </c>
      <c r="DY213" s="102">
        <v>29.7</v>
      </c>
      <c r="DZ213" s="102"/>
      <c r="EA213" s="102"/>
      <c r="EB213" s="106"/>
      <c r="EC213" s="106"/>
      <c r="ED213" s="106"/>
      <c r="EE213" s="102"/>
    </row>
    <row r="214" spans="1:135" x14ac:dyDescent="0.15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4">
        <v>130</v>
      </c>
      <c r="DY214" s="102">
        <v>29.6</v>
      </c>
      <c r="DZ214" s="102"/>
      <c r="EA214" s="102"/>
      <c r="EB214" s="106"/>
      <c r="EC214" s="106"/>
      <c r="ED214" s="106"/>
      <c r="EE214" s="102"/>
    </row>
    <row r="215" spans="1:135" x14ac:dyDescent="0.15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4">
        <v>135</v>
      </c>
      <c r="DY215" s="102">
        <v>29.5</v>
      </c>
      <c r="DZ215" s="102"/>
      <c r="EA215" s="102"/>
      <c r="EB215" s="106"/>
      <c r="EC215" s="106"/>
      <c r="ED215" s="106"/>
      <c r="EE215" s="102"/>
    </row>
    <row r="216" spans="1:135" x14ac:dyDescent="0.15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4">
        <v>140</v>
      </c>
      <c r="DY216" s="102">
        <v>29.4</v>
      </c>
      <c r="DZ216" s="102"/>
      <c r="EA216" s="102"/>
      <c r="EB216" s="106"/>
      <c r="EC216" s="106"/>
      <c r="ED216" s="106"/>
      <c r="EE216" s="102"/>
    </row>
    <row r="217" spans="1:135" x14ac:dyDescent="0.15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4">
        <v>145</v>
      </c>
      <c r="DY217" s="102">
        <v>29.3</v>
      </c>
      <c r="DZ217" s="102"/>
      <c r="EA217" s="102"/>
      <c r="EB217" s="106"/>
      <c r="EC217" s="106"/>
      <c r="ED217" s="106"/>
      <c r="EE217" s="102"/>
    </row>
    <row r="218" spans="1:135" x14ac:dyDescent="0.15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4">
        <v>150</v>
      </c>
      <c r="DY218" s="102">
        <v>29.2</v>
      </c>
      <c r="DZ218" s="102"/>
      <c r="EA218" s="102"/>
      <c r="EB218" s="106"/>
      <c r="EC218" s="106"/>
      <c r="ED218" s="106"/>
      <c r="EE218" s="102"/>
    </row>
    <row r="219" spans="1:135" x14ac:dyDescent="0.15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4">
        <v>155</v>
      </c>
      <c r="DY219" s="102">
        <v>29.1</v>
      </c>
      <c r="DZ219" s="102"/>
      <c r="EA219" s="102"/>
      <c r="EB219" s="106"/>
      <c r="EC219" s="106"/>
      <c r="ED219" s="106"/>
      <c r="EE219" s="102"/>
    </row>
    <row r="220" spans="1:135" x14ac:dyDescent="0.15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4">
        <v>160</v>
      </c>
      <c r="DY220" s="102">
        <v>29</v>
      </c>
      <c r="DZ220" s="102"/>
      <c r="EA220" s="102"/>
      <c r="EB220" s="106"/>
      <c r="EC220" s="106"/>
      <c r="ED220" s="106"/>
      <c r="EE220" s="102"/>
    </row>
    <row r="221" spans="1:135" x14ac:dyDescent="0.15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4">
        <v>165</v>
      </c>
      <c r="DY221" s="102">
        <v>28.9</v>
      </c>
      <c r="DZ221" s="102"/>
      <c r="EA221" s="102"/>
      <c r="EB221" s="106"/>
      <c r="EC221" s="106"/>
      <c r="ED221" s="106"/>
      <c r="EE221" s="102"/>
    </row>
    <row r="222" spans="1:135" x14ac:dyDescent="0.15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4">
        <v>170</v>
      </c>
      <c r="DY222" s="102">
        <v>28.8</v>
      </c>
      <c r="DZ222" s="102"/>
      <c r="EA222" s="102"/>
      <c r="EB222" s="106"/>
      <c r="EC222" s="106"/>
      <c r="ED222" s="106"/>
      <c r="EE222" s="102"/>
    </row>
    <row r="223" spans="1:135" x14ac:dyDescent="0.15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4">
        <v>175</v>
      </c>
      <c r="DY223" s="102">
        <v>28.7</v>
      </c>
      <c r="DZ223" s="102"/>
      <c r="EA223" s="102"/>
      <c r="EB223" s="106"/>
      <c r="EC223" s="106"/>
      <c r="ED223" s="106"/>
      <c r="EE223" s="102"/>
    </row>
    <row r="224" spans="1:135" x14ac:dyDescent="0.15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4">
        <v>180</v>
      </c>
      <c r="DY224" s="102">
        <v>28.6</v>
      </c>
      <c r="DZ224" s="102"/>
      <c r="EA224" s="102"/>
      <c r="EB224" s="106"/>
      <c r="EC224" s="106"/>
      <c r="ED224" s="106"/>
      <c r="EE224" s="102"/>
    </row>
    <row r="225" spans="1:135" x14ac:dyDescent="0.15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  <c r="DT225" s="102"/>
      <c r="DU225" s="102"/>
      <c r="DV225" s="102"/>
      <c r="DW225" s="102"/>
      <c r="DX225" s="104">
        <v>185</v>
      </c>
      <c r="DY225" s="102">
        <v>28.5</v>
      </c>
      <c r="DZ225" s="102"/>
      <c r="EA225" s="102"/>
      <c r="EB225" s="106"/>
      <c r="EC225" s="106"/>
      <c r="ED225" s="106"/>
      <c r="EE225" s="102"/>
    </row>
    <row r="226" spans="1:135" x14ac:dyDescent="0.15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4">
        <v>190</v>
      </c>
      <c r="DY226" s="102">
        <v>28.4</v>
      </c>
      <c r="DZ226" s="102"/>
      <c r="EA226" s="102"/>
      <c r="EB226" s="106"/>
      <c r="EC226" s="106"/>
      <c r="ED226" s="106"/>
      <c r="EE226" s="102"/>
    </row>
    <row r="227" spans="1:135" x14ac:dyDescent="0.15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  <c r="DT227" s="102"/>
      <c r="DU227" s="102"/>
      <c r="DV227" s="102"/>
      <c r="DW227" s="102"/>
      <c r="DX227" s="104">
        <v>195</v>
      </c>
      <c r="DY227" s="102">
        <v>28.3</v>
      </c>
      <c r="DZ227" s="102"/>
      <c r="EA227" s="102"/>
      <c r="EB227" s="106"/>
      <c r="EC227" s="106"/>
      <c r="ED227" s="106"/>
      <c r="EE227" s="102"/>
    </row>
    <row r="228" spans="1:135" x14ac:dyDescent="0.15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4">
        <v>200</v>
      </c>
      <c r="DY228" s="102">
        <v>28.2</v>
      </c>
      <c r="DZ228" s="102"/>
      <c r="EA228" s="102"/>
      <c r="EB228" s="106"/>
      <c r="EC228" s="106"/>
      <c r="ED228" s="106"/>
      <c r="EE228" s="102"/>
    </row>
    <row r="229" spans="1:135" x14ac:dyDescent="0.15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4">
        <v>205</v>
      </c>
      <c r="DY229" s="102">
        <v>28.1</v>
      </c>
      <c r="DZ229" s="102"/>
      <c r="EA229" s="102"/>
      <c r="EB229" s="106"/>
      <c r="EC229" s="106"/>
      <c r="ED229" s="106"/>
      <c r="EE229" s="102"/>
    </row>
    <row r="230" spans="1:135" x14ac:dyDescent="0.15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4">
        <v>210</v>
      </c>
      <c r="DY230" s="102">
        <v>28</v>
      </c>
      <c r="DZ230" s="102"/>
      <c r="EA230" s="102"/>
      <c r="EB230" s="106"/>
      <c r="EC230" s="106"/>
      <c r="ED230" s="106"/>
      <c r="EE230" s="102"/>
    </row>
    <row r="231" spans="1:135" x14ac:dyDescent="0.15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4">
        <v>215</v>
      </c>
      <c r="DY231" s="102">
        <v>27.9</v>
      </c>
      <c r="DZ231" s="102"/>
      <c r="EA231" s="102"/>
      <c r="EB231" s="106"/>
      <c r="EC231" s="106"/>
      <c r="ED231" s="106"/>
      <c r="EE231" s="102"/>
    </row>
    <row r="232" spans="1:135" x14ac:dyDescent="0.15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4">
        <v>220</v>
      </c>
      <c r="DY232" s="102">
        <v>27.8</v>
      </c>
      <c r="DZ232" s="102"/>
      <c r="EA232" s="102"/>
      <c r="EB232" s="106"/>
      <c r="EC232" s="106"/>
      <c r="ED232" s="106"/>
      <c r="EE232" s="102"/>
    </row>
    <row r="233" spans="1:135" x14ac:dyDescent="0.15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4">
        <v>225</v>
      </c>
      <c r="DY233" s="102">
        <v>27.7</v>
      </c>
      <c r="DZ233" s="102"/>
      <c r="EA233" s="102"/>
      <c r="EB233" s="106"/>
      <c r="EC233" s="106"/>
      <c r="ED233" s="106"/>
      <c r="EE233" s="102"/>
    </row>
    <row r="234" spans="1:135" x14ac:dyDescent="0.15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4">
        <v>230</v>
      </c>
      <c r="DY234" s="102">
        <v>27.6</v>
      </c>
      <c r="DZ234" s="102"/>
      <c r="EA234" s="102"/>
      <c r="EB234" s="106"/>
      <c r="EC234" s="106"/>
      <c r="ED234" s="106"/>
      <c r="EE234" s="102"/>
    </row>
    <row r="235" spans="1:135" x14ac:dyDescent="0.15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4">
        <v>235</v>
      </c>
      <c r="DY235" s="102">
        <v>27.5</v>
      </c>
      <c r="DZ235" s="102"/>
      <c r="EA235" s="102"/>
      <c r="EB235" s="106"/>
      <c r="EC235" s="106"/>
      <c r="ED235" s="106"/>
      <c r="EE235" s="102"/>
    </row>
    <row r="236" spans="1:135" x14ac:dyDescent="0.15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4">
        <v>240</v>
      </c>
      <c r="DY236" s="102">
        <v>27.4</v>
      </c>
      <c r="DZ236" s="102"/>
      <c r="EA236" s="102"/>
      <c r="EB236" s="106"/>
      <c r="EC236" s="106"/>
      <c r="ED236" s="106"/>
      <c r="EE236" s="102"/>
    </row>
    <row r="237" spans="1:135" x14ac:dyDescent="0.15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4">
        <v>245</v>
      </c>
      <c r="DY237" s="102">
        <v>27.3</v>
      </c>
      <c r="DZ237" s="102"/>
      <c r="EA237" s="102"/>
      <c r="EB237" s="106"/>
      <c r="EC237" s="106"/>
      <c r="ED237" s="106"/>
      <c r="EE237" s="102"/>
    </row>
    <row r="238" spans="1:135" x14ac:dyDescent="0.15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4">
        <v>250</v>
      </c>
      <c r="DY238" s="102">
        <v>27.2</v>
      </c>
      <c r="DZ238" s="102"/>
      <c r="EA238" s="102"/>
      <c r="EB238" s="106"/>
      <c r="EC238" s="106"/>
      <c r="ED238" s="106"/>
      <c r="EE238" s="102"/>
    </row>
    <row r="239" spans="1:135" x14ac:dyDescent="0.15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  <c r="DT239" s="102"/>
      <c r="DU239" s="102"/>
      <c r="DV239" s="102"/>
      <c r="DW239" s="102"/>
      <c r="DX239" s="103">
        <v>260</v>
      </c>
      <c r="DY239" s="102">
        <v>27.1</v>
      </c>
      <c r="DZ239" s="102"/>
      <c r="EA239" s="102"/>
      <c r="EB239" s="106"/>
      <c r="EC239" s="106"/>
      <c r="ED239" s="106"/>
      <c r="EE239" s="102"/>
    </row>
    <row r="240" spans="1:135" x14ac:dyDescent="0.15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  <c r="DT240" s="102"/>
      <c r="DU240" s="102"/>
      <c r="DV240" s="102"/>
      <c r="DW240" s="102"/>
      <c r="DX240" s="103">
        <v>270</v>
      </c>
      <c r="DY240" s="102">
        <v>27</v>
      </c>
      <c r="DZ240" s="102"/>
      <c r="EA240" s="102"/>
      <c r="EB240" s="106"/>
      <c r="EC240" s="106"/>
      <c r="ED240" s="106"/>
      <c r="EE240" s="102"/>
    </row>
    <row r="241" spans="1:135" x14ac:dyDescent="0.1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  <c r="DT241" s="102"/>
      <c r="DU241" s="102"/>
      <c r="DV241" s="102"/>
      <c r="DW241" s="102"/>
      <c r="DX241" s="103">
        <v>280</v>
      </c>
      <c r="DY241" s="102">
        <v>26.9</v>
      </c>
      <c r="DZ241" s="102"/>
      <c r="EA241" s="102"/>
      <c r="EB241" s="106"/>
      <c r="EC241" s="106"/>
      <c r="ED241" s="106"/>
      <c r="EE241" s="102"/>
    </row>
    <row r="242" spans="1:135" x14ac:dyDescent="0.1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3">
        <v>290</v>
      </c>
      <c r="DY242" s="102">
        <v>26.8</v>
      </c>
      <c r="DZ242" s="102"/>
      <c r="EA242" s="102"/>
      <c r="EB242" s="106"/>
      <c r="EC242" s="106"/>
      <c r="ED242" s="106"/>
      <c r="EE242" s="102"/>
    </row>
    <row r="243" spans="1:135" x14ac:dyDescent="0.1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3">
        <v>300</v>
      </c>
      <c r="DY243" s="102">
        <v>26.7</v>
      </c>
      <c r="DZ243" s="102"/>
      <c r="EA243" s="102"/>
      <c r="EB243" s="106"/>
      <c r="EC243" s="106"/>
      <c r="ED243" s="106"/>
      <c r="EE243" s="102"/>
    </row>
    <row r="244" spans="1:135" x14ac:dyDescent="0.15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3">
        <v>350</v>
      </c>
      <c r="DY244" s="102">
        <v>26.6</v>
      </c>
      <c r="DZ244" s="102"/>
      <c r="EA244" s="102"/>
      <c r="EB244" s="106"/>
      <c r="EC244" s="106"/>
      <c r="ED244" s="106"/>
      <c r="EE244" s="102"/>
    </row>
    <row r="245" spans="1:135" x14ac:dyDescent="0.15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3">
        <v>400</v>
      </c>
      <c r="DY245" s="102">
        <v>26.5</v>
      </c>
      <c r="DZ245" s="102"/>
      <c r="EA245" s="102"/>
      <c r="EB245" s="106"/>
      <c r="EC245" s="106"/>
      <c r="ED245" s="106"/>
      <c r="EE245" s="102"/>
    </row>
    <row r="246" spans="1:135" x14ac:dyDescent="0.15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3">
        <v>450</v>
      </c>
      <c r="DY246" s="102">
        <v>26.4</v>
      </c>
      <c r="DZ246" s="102"/>
      <c r="EA246" s="102"/>
      <c r="EB246" s="106"/>
      <c r="EC246" s="106"/>
      <c r="ED246" s="106"/>
      <c r="EE246" s="102"/>
    </row>
    <row r="247" spans="1:135" x14ac:dyDescent="0.15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3">
        <v>500</v>
      </c>
      <c r="DY247" s="102">
        <v>26.3</v>
      </c>
      <c r="DZ247" s="102"/>
      <c r="EA247" s="102"/>
      <c r="EB247" s="106"/>
      <c r="EC247" s="106"/>
      <c r="ED247" s="106"/>
      <c r="EE247" s="102"/>
    </row>
    <row r="248" spans="1:135" x14ac:dyDescent="0.15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2"/>
      <c r="DG248" s="102"/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2"/>
      <c r="DW248" s="102"/>
      <c r="DX248" s="103">
        <v>600</v>
      </c>
      <c r="DY248" s="102">
        <v>26.2</v>
      </c>
      <c r="DZ248" s="102"/>
      <c r="EA248" s="102"/>
      <c r="EB248" s="106"/>
      <c r="EC248" s="106"/>
      <c r="ED248" s="106"/>
      <c r="EE248" s="102"/>
    </row>
    <row r="249" spans="1:135" x14ac:dyDescent="0.15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  <c r="DF249" s="102"/>
      <c r="DG249" s="102"/>
      <c r="DH249" s="102"/>
      <c r="DI249" s="102"/>
      <c r="DJ249" s="102"/>
      <c r="DK249" s="102"/>
      <c r="DL249" s="102"/>
      <c r="DM249" s="102"/>
      <c r="DN249" s="102"/>
      <c r="DO249" s="102"/>
      <c r="DP249" s="102"/>
      <c r="DQ249" s="102"/>
      <c r="DR249" s="102"/>
      <c r="DS249" s="102"/>
      <c r="DT249" s="102"/>
      <c r="DU249" s="102"/>
      <c r="DV249" s="102"/>
      <c r="DW249" s="102"/>
      <c r="DX249" s="103">
        <v>700</v>
      </c>
      <c r="DY249" s="102">
        <v>26.1</v>
      </c>
      <c r="DZ249" s="102"/>
      <c r="EA249" s="102"/>
      <c r="EB249" s="106"/>
      <c r="EC249" s="106"/>
      <c r="ED249" s="106"/>
      <c r="EE249" s="102"/>
    </row>
    <row r="250" spans="1:135" x14ac:dyDescent="0.1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3">
        <v>800</v>
      </c>
      <c r="DY250" s="102">
        <v>26</v>
      </c>
      <c r="DZ250" s="102"/>
      <c r="EA250" s="102"/>
      <c r="EB250" s="106"/>
      <c r="EC250" s="106"/>
      <c r="ED250" s="106"/>
      <c r="EE250" s="102"/>
    </row>
    <row r="251" spans="1:135" x14ac:dyDescent="0.1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3">
        <v>900</v>
      </c>
      <c r="DY251" s="102">
        <v>25.9</v>
      </c>
      <c r="DZ251" s="102"/>
      <c r="EA251" s="102"/>
      <c r="EB251" s="106"/>
      <c r="EC251" s="106"/>
      <c r="ED251" s="106"/>
      <c r="EE251" s="102"/>
    </row>
    <row r="252" spans="1:135" x14ac:dyDescent="0.1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3">
        <v>1000</v>
      </c>
      <c r="DY252" s="102">
        <v>25.8</v>
      </c>
      <c r="DZ252" s="102"/>
      <c r="EA252" s="102"/>
      <c r="EB252" s="106"/>
      <c r="EC252" s="106"/>
      <c r="ED252" s="106"/>
      <c r="EE252" s="102"/>
    </row>
    <row r="253" spans="1:135" x14ac:dyDescent="0.15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>
        <v>25.7</v>
      </c>
      <c r="DZ253" s="102"/>
      <c r="EA253" s="102"/>
      <c r="EB253" s="106"/>
      <c r="EC253" s="106"/>
      <c r="ED253" s="106"/>
      <c r="EE253" s="102"/>
    </row>
    <row r="254" spans="1:135" x14ac:dyDescent="0.15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  <c r="DO254" s="102"/>
      <c r="DP254" s="102"/>
      <c r="DQ254" s="102"/>
      <c r="DR254" s="102"/>
      <c r="DS254" s="102"/>
      <c r="DT254" s="102"/>
      <c r="DU254" s="102"/>
      <c r="DV254" s="102"/>
      <c r="DW254" s="102"/>
      <c r="DX254" s="102"/>
      <c r="DY254" s="102">
        <v>25.6</v>
      </c>
      <c r="DZ254" s="102"/>
      <c r="EA254" s="102"/>
      <c r="EB254" s="106"/>
      <c r="EC254" s="106"/>
      <c r="ED254" s="106"/>
      <c r="EE254" s="102"/>
    </row>
    <row r="255" spans="1:135" x14ac:dyDescent="0.15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  <c r="DT255" s="102"/>
      <c r="DU255" s="102"/>
      <c r="DV255" s="102"/>
      <c r="DW255" s="102"/>
      <c r="DX255" s="102"/>
      <c r="DY255" s="102">
        <v>25.5</v>
      </c>
      <c r="DZ255" s="102"/>
      <c r="EA255" s="102"/>
      <c r="EB255" s="106"/>
      <c r="EC255" s="106"/>
      <c r="ED255" s="106"/>
      <c r="EE255" s="102"/>
    </row>
    <row r="256" spans="1:135" x14ac:dyDescent="0.1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  <c r="DT256" s="102"/>
      <c r="DU256" s="102"/>
      <c r="DV256" s="102"/>
      <c r="DW256" s="102"/>
      <c r="DX256" s="102"/>
      <c r="DY256" s="102">
        <v>25.4</v>
      </c>
      <c r="DZ256" s="102"/>
      <c r="EA256" s="102"/>
      <c r="EB256" s="106"/>
      <c r="EC256" s="106"/>
      <c r="ED256" s="106"/>
      <c r="EE256" s="102"/>
    </row>
    <row r="257" spans="1:135" x14ac:dyDescent="0.15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  <c r="DT257" s="102"/>
      <c r="DU257" s="102"/>
      <c r="DV257" s="102"/>
      <c r="DW257" s="102"/>
      <c r="DX257" s="102"/>
      <c r="DY257" s="102">
        <v>25.3</v>
      </c>
      <c r="DZ257" s="102"/>
      <c r="EA257" s="102"/>
      <c r="EB257" s="106"/>
      <c r="EC257" s="106"/>
      <c r="ED257" s="106"/>
      <c r="EE257" s="102"/>
    </row>
    <row r="258" spans="1:135" x14ac:dyDescent="0.15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>
        <v>25.2</v>
      </c>
      <c r="DZ258" s="102"/>
      <c r="EA258" s="102"/>
      <c r="EB258" s="106"/>
      <c r="EC258" s="106"/>
      <c r="ED258" s="106"/>
      <c r="EE258" s="102"/>
    </row>
    <row r="259" spans="1:135" x14ac:dyDescent="0.15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>
        <v>25.1</v>
      </c>
      <c r="DZ259" s="102"/>
      <c r="EA259" s="102"/>
      <c r="EB259" s="106"/>
      <c r="EC259" s="106"/>
      <c r="ED259" s="106"/>
      <c r="EE259" s="102"/>
    </row>
    <row r="260" spans="1:135" x14ac:dyDescent="0.1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>
        <v>25</v>
      </c>
      <c r="DZ260" s="102"/>
      <c r="EA260" s="102"/>
      <c r="EB260" s="106"/>
      <c r="EC260" s="106"/>
      <c r="ED260" s="106"/>
      <c r="EE260" s="102"/>
    </row>
    <row r="261" spans="1:135" x14ac:dyDescent="0.1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>
        <v>24.9</v>
      </c>
      <c r="DZ261" s="102"/>
      <c r="EA261" s="102"/>
      <c r="EB261" s="106"/>
      <c r="EC261" s="106"/>
      <c r="ED261" s="106"/>
      <c r="EE261" s="102"/>
    </row>
    <row r="262" spans="1:135" x14ac:dyDescent="0.15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>
        <v>24.8</v>
      </c>
      <c r="DZ262" s="102"/>
      <c r="EA262" s="102"/>
      <c r="EB262" s="106"/>
      <c r="EC262" s="106"/>
      <c r="ED262" s="106"/>
      <c r="EE262" s="102"/>
    </row>
    <row r="263" spans="1:135" x14ac:dyDescent="0.15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  <c r="CW263" s="102"/>
      <c r="CX263" s="102"/>
      <c r="CY263" s="102"/>
      <c r="CZ263" s="102"/>
      <c r="DA263" s="102"/>
      <c r="DB263" s="102"/>
      <c r="DC263" s="102"/>
      <c r="DD263" s="102"/>
      <c r="DE263" s="102"/>
      <c r="DF263" s="102"/>
      <c r="DG263" s="102"/>
      <c r="DH263" s="102"/>
      <c r="DI263" s="102"/>
      <c r="DJ263" s="102"/>
      <c r="DK263" s="102"/>
      <c r="DL263" s="102"/>
      <c r="DM263" s="102"/>
      <c r="DN263" s="102"/>
      <c r="DO263" s="102"/>
      <c r="DP263" s="102"/>
      <c r="DQ263" s="102"/>
      <c r="DR263" s="102"/>
      <c r="DS263" s="102"/>
      <c r="DT263" s="102"/>
      <c r="DU263" s="102"/>
      <c r="DV263" s="102"/>
      <c r="DW263" s="102"/>
      <c r="DX263" s="102"/>
      <c r="DY263" s="102">
        <v>24.7</v>
      </c>
      <c r="DZ263" s="102"/>
      <c r="EA263" s="102"/>
      <c r="EB263" s="106"/>
      <c r="EC263" s="106"/>
      <c r="ED263" s="106"/>
      <c r="EE263" s="102"/>
    </row>
    <row r="264" spans="1:135" x14ac:dyDescent="0.15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102"/>
      <c r="DW264" s="102"/>
      <c r="DX264" s="102"/>
      <c r="DY264" s="102">
        <v>24.6</v>
      </c>
      <c r="DZ264" s="102"/>
      <c r="EA264" s="102"/>
      <c r="EB264" s="106"/>
      <c r="EC264" s="106"/>
      <c r="ED264" s="106"/>
      <c r="EE264" s="102"/>
    </row>
    <row r="265" spans="1:135" x14ac:dyDescent="0.15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>
        <v>24.5</v>
      </c>
      <c r="DZ265" s="102"/>
      <c r="EA265" s="102"/>
      <c r="EB265" s="106"/>
      <c r="EC265" s="106"/>
      <c r="ED265" s="106"/>
      <c r="EE265" s="102"/>
    </row>
    <row r="266" spans="1:135" x14ac:dyDescent="0.15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>
        <v>24.4</v>
      </c>
      <c r="DZ266" s="102"/>
      <c r="EA266" s="102"/>
      <c r="EB266" s="106"/>
      <c r="EC266" s="106"/>
      <c r="ED266" s="106"/>
      <c r="EE266" s="102"/>
    </row>
    <row r="267" spans="1:135" x14ac:dyDescent="0.15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  <c r="CW267" s="102"/>
      <c r="CX267" s="102"/>
      <c r="CY267" s="102"/>
      <c r="CZ267" s="102"/>
      <c r="DA267" s="102"/>
      <c r="DB267" s="102"/>
      <c r="DC267" s="102"/>
      <c r="DD267" s="102"/>
      <c r="DE267" s="102"/>
      <c r="DF267" s="102"/>
      <c r="DG267" s="102"/>
      <c r="DH267" s="102"/>
      <c r="DI267" s="102"/>
      <c r="DJ267" s="102"/>
      <c r="DK267" s="102"/>
      <c r="DL267" s="102"/>
      <c r="DM267" s="102"/>
      <c r="DN267" s="102"/>
      <c r="DO267" s="102"/>
      <c r="DP267" s="102"/>
      <c r="DQ267" s="102"/>
      <c r="DR267" s="102"/>
      <c r="DS267" s="102"/>
      <c r="DT267" s="102"/>
      <c r="DU267" s="102"/>
      <c r="DV267" s="102"/>
      <c r="DW267" s="102"/>
      <c r="DX267" s="102"/>
      <c r="DY267" s="102">
        <v>24.3</v>
      </c>
      <c r="DZ267" s="102"/>
      <c r="EA267" s="102"/>
      <c r="EB267" s="106"/>
      <c r="EC267" s="106"/>
      <c r="ED267" s="106"/>
      <c r="EE267" s="102"/>
    </row>
    <row r="268" spans="1:135" x14ac:dyDescent="0.15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>
        <v>24.2</v>
      </c>
      <c r="DZ268" s="102"/>
      <c r="EA268" s="102"/>
      <c r="EB268" s="106"/>
      <c r="EC268" s="106"/>
      <c r="ED268" s="106"/>
      <c r="EE268" s="102"/>
    </row>
    <row r="269" spans="1:135" x14ac:dyDescent="0.1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>
        <v>24.1</v>
      </c>
      <c r="DZ269" s="102"/>
      <c r="EA269" s="102"/>
      <c r="EB269" s="106"/>
      <c r="EC269" s="106"/>
      <c r="ED269" s="106"/>
      <c r="EE269" s="102"/>
    </row>
    <row r="270" spans="1:135" x14ac:dyDescent="0.15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  <c r="DT270" s="102"/>
      <c r="DU270" s="102"/>
      <c r="DV270" s="102"/>
      <c r="DW270" s="102"/>
      <c r="DX270" s="102"/>
      <c r="DY270" s="102">
        <v>24</v>
      </c>
      <c r="DZ270" s="102"/>
      <c r="EA270" s="102"/>
      <c r="EB270" s="106"/>
      <c r="EC270" s="106"/>
      <c r="ED270" s="106"/>
      <c r="EE270" s="102"/>
    </row>
    <row r="271" spans="1:135" x14ac:dyDescent="0.15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  <c r="CW271" s="102"/>
      <c r="CX271" s="102"/>
      <c r="CY271" s="102"/>
      <c r="CZ271" s="102"/>
      <c r="DA271" s="102"/>
      <c r="DB271" s="102"/>
      <c r="DC271" s="102"/>
      <c r="DD271" s="102"/>
      <c r="DE271" s="102"/>
      <c r="DF271" s="102"/>
      <c r="DG271" s="102"/>
      <c r="DH271" s="102"/>
      <c r="DI271" s="102"/>
      <c r="DJ271" s="102"/>
      <c r="DK271" s="102"/>
      <c r="DL271" s="102"/>
      <c r="DM271" s="102"/>
      <c r="DN271" s="102"/>
      <c r="DO271" s="102"/>
      <c r="DP271" s="102"/>
      <c r="DQ271" s="102"/>
      <c r="DR271" s="102"/>
      <c r="DS271" s="102"/>
      <c r="DT271" s="102"/>
      <c r="DU271" s="102"/>
      <c r="DV271" s="102"/>
      <c r="DW271" s="102"/>
      <c r="DX271" s="102"/>
      <c r="DY271" s="102">
        <v>23.9</v>
      </c>
      <c r="DZ271" s="102"/>
      <c r="EA271" s="102"/>
      <c r="EB271" s="106"/>
      <c r="EC271" s="106"/>
      <c r="ED271" s="106"/>
      <c r="EE271" s="102"/>
    </row>
    <row r="272" spans="1:135" x14ac:dyDescent="0.15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  <c r="DO272" s="102"/>
      <c r="DP272" s="102"/>
      <c r="DQ272" s="102"/>
      <c r="DR272" s="102"/>
      <c r="DS272" s="102"/>
      <c r="DT272" s="102"/>
      <c r="DU272" s="102"/>
      <c r="DV272" s="102"/>
      <c r="DW272" s="102"/>
      <c r="DX272" s="102"/>
      <c r="DY272" s="102">
        <v>23.8</v>
      </c>
      <c r="DZ272" s="102"/>
      <c r="EA272" s="102"/>
      <c r="EB272" s="106"/>
      <c r="EC272" s="106"/>
      <c r="ED272" s="106"/>
      <c r="EE272" s="102"/>
    </row>
    <row r="273" spans="1:135" x14ac:dyDescent="0.15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>
        <v>23.7</v>
      </c>
      <c r="DZ273" s="102"/>
      <c r="EA273" s="102"/>
      <c r="EB273" s="106"/>
      <c r="EC273" s="106"/>
      <c r="ED273" s="106"/>
      <c r="EE273" s="102"/>
    </row>
    <row r="274" spans="1:135" x14ac:dyDescent="0.15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2"/>
      <c r="DN274" s="102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>
        <v>23.6</v>
      </c>
      <c r="DZ274" s="102"/>
      <c r="EA274" s="102"/>
      <c r="EB274" s="106"/>
      <c r="EC274" s="106"/>
      <c r="ED274" s="106"/>
      <c r="EE274" s="102"/>
    </row>
    <row r="275" spans="1:135" x14ac:dyDescent="0.15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>
        <v>23.5</v>
      </c>
      <c r="DZ275" s="102"/>
      <c r="EA275" s="102"/>
      <c r="EB275" s="106"/>
      <c r="EC275" s="106"/>
      <c r="ED275" s="106"/>
      <c r="EE275" s="102"/>
    </row>
    <row r="276" spans="1:135" x14ac:dyDescent="0.15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2"/>
      <c r="DN276" s="102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>
        <v>23.4</v>
      </c>
      <c r="DZ276" s="102"/>
      <c r="EA276" s="102"/>
      <c r="EB276" s="106"/>
      <c r="EC276" s="106"/>
      <c r="ED276" s="106"/>
      <c r="EE276" s="102"/>
    </row>
    <row r="277" spans="1:135" x14ac:dyDescent="0.1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>
        <v>23.3</v>
      </c>
      <c r="DZ277" s="102"/>
      <c r="EA277" s="102"/>
      <c r="EB277" s="106"/>
      <c r="EC277" s="106"/>
      <c r="ED277" s="106"/>
      <c r="EE277" s="102"/>
    </row>
    <row r="278" spans="1:135" x14ac:dyDescent="0.15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>
        <v>23.2</v>
      </c>
      <c r="DZ278" s="102"/>
      <c r="EA278" s="102"/>
      <c r="EB278" s="106"/>
      <c r="EC278" s="106"/>
      <c r="ED278" s="106"/>
      <c r="EE278" s="102"/>
    </row>
    <row r="279" spans="1:135" x14ac:dyDescent="0.1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>
        <v>23.1</v>
      </c>
      <c r="DZ279" s="102"/>
      <c r="EA279" s="102"/>
      <c r="EB279" s="106"/>
      <c r="EC279" s="106"/>
      <c r="ED279" s="106"/>
      <c r="EE279" s="102"/>
    </row>
    <row r="280" spans="1:135" x14ac:dyDescent="0.1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  <c r="DO280" s="102"/>
      <c r="DP280" s="102"/>
      <c r="DQ280" s="102"/>
      <c r="DR280" s="102"/>
      <c r="DS280" s="102"/>
      <c r="DT280" s="102"/>
      <c r="DU280" s="102"/>
      <c r="DV280" s="102"/>
      <c r="DW280" s="102"/>
      <c r="DX280" s="102"/>
      <c r="DY280" s="102">
        <v>23</v>
      </c>
      <c r="DZ280" s="102"/>
      <c r="EA280" s="102"/>
      <c r="EB280" s="106"/>
      <c r="EC280" s="106"/>
      <c r="ED280" s="106"/>
      <c r="EE280" s="102"/>
    </row>
    <row r="281" spans="1:135" x14ac:dyDescent="0.1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  <c r="CW281" s="102"/>
      <c r="CX281" s="102"/>
      <c r="CY281" s="102"/>
      <c r="CZ281" s="102"/>
      <c r="DA281" s="102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2"/>
      <c r="DM281" s="102"/>
      <c r="DN281" s="102"/>
      <c r="DO281" s="102"/>
      <c r="DP281" s="102"/>
      <c r="DQ281" s="102"/>
      <c r="DR281" s="102"/>
      <c r="DS281" s="102"/>
      <c r="DT281" s="102"/>
      <c r="DU281" s="102"/>
      <c r="DV281" s="102"/>
      <c r="DW281" s="102"/>
      <c r="DX281" s="102"/>
      <c r="DY281" s="102">
        <v>22.9</v>
      </c>
      <c r="DZ281" s="102"/>
      <c r="EA281" s="102"/>
      <c r="EB281" s="106"/>
      <c r="EC281" s="106"/>
      <c r="ED281" s="106"/>
      <c r="EE281" s="102"/>
    </row>
    <row r="282" spans="1:135" x14ac:dyDescent="0.15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  <c r="CW282" s="102"/>
      <c r="CX282" s="102"/>
      <c r="CY282" s="102"/>
      <c r="CZ282" s="102"/>
      <c r="DA282" s="102"/>
      <c r="DB282" s="102"/>
      <c r="DC282" s="102"/>
      <c r="DD282" s="102"/>
      <c r="DE282" s="102"/>
      <c r="DF282" s="102"/>
      <c r="DG282" s="102"/>
      <c r="DH282" s="102"/>
      <c r="DI282" s="102"/>
      <c r="DJ282" s="102"/>
      <c r="DK282" s="102"/>
      <c r="DL282" s="102"/>
      <c r="DM282" s="102"/>
      <c r="DN282" s="102"/>
      <c r="DO282" s="102"/>
      <c r="DP282" s="102"/>
      <c r="DQ282" s="102"/>
      <c r="DR282" s="102"/>
      <c r="DS282" s="102"/>
      <c r="DT282" s="102"/>
      <c r="DU282" s="102"/>
      <c r="DV282" s="102"/>
      <c r="DW282" s="102"/>
      <c r="DX282" s="102"/>
      <c r="DY282" s="102">
        <v>22.8</v>
      </c>
      <c r="DZ282" s="102"/>
      <c r="EA282" s="102"/>
      <c r="EB282" s="106"/>
      <c r="EC282" s="106"/>
      <c r="ED282" s="106"/>
      <c r="EE282" s="102"/>
    </row>
    <row r="283" spans="1:135" x14ac:dyDescent="0.15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2"/>
      <c r="DW283" s="102"/>
      <c r="DX283" s="102"/>
      <c r="DY283" s="102">
        <v>22.7</v>
      </c>
      <c r="DZ283" s="102"/>
      <c r="EA283" s="102"/>
      <c r="EB283" s="106"/>
      <c r="EC283" s="106"/>
      <c r="ED283" s="106"/>
      <c r="EE283" s="102"/>
    </row>
    <row r="284" spans="1:135" x14ac:dyDescent="0.1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  <c r="CW284" s="102"/>
      <c r="CX284" s="102"/>
      <c r="CY284" s="102"/>
      <c r="CZ284" s="102"/>
      <c r="DA284" s="102"/>
      <c r="DB284" s="102"/>
      <c r="DC284" s="102"/>
      <c r="DD284" s="102"/>
      <c r="DE284" s="102"/>
      <c r="DF284" s="102"/>
      <c r="DG284" s="102"/>
      <c r="DH284" s="102"/>
      <c r="DI284" s="102"/>
      <c r="DJ284" s="102"/>
      <c r="DK284" s="102"/>
      <c r="DL284" s="102"/>
      <c r="DM284" s="102"/>
      <c r="DN284" s="102"/>
      <c r="DO284" s="102"/>
      <c r="DP284" s="102"/>
      <c r="DQ284" s="102"/>
      <c r="DR284" s="102"/>
      <c r="DS284" s="102"/>
      <c r="DT284" s="102"/>
      <c r="DU284" s="102"/>
      <c r="DV284" s="102"/>
      <c r="DW284" s="102"/>
      <c r="DX284" s="102"/>
      <c r="DY284" s="102">
        <v>22.6</v>
      </c>
      <c r="DZ284" s="102"/>
      <c r="EA284" s="102"/>
      <c r="EB284" s="106"/>
      <c r="EC284" s="106"/>
      <c r="ED284" s="106"/>
      <c r="EE284" s="102"/>
    </row>
    <row r="285" spans="1:135" x14ac:dyDescent="0.15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02"/>
      <c r="DC285" s="102"/>
      <c r="DD285" s="102"/>
      <c r="DE285" s="102"/>
      <c r="DF285" s="102"/>
      <c r="DG285" s="102"/>
      <c r="DH285" s="102"/>
      <c r="DI285" s="102"/>
      <c r="DJ285" s="102"/>
      <c r="DK285" s="102"/>
      <c r="DL285" s="102"/>
      <c r="DM285" s="102"/>
      <c r="DN285" s="102"/>
      <c r="DO285" s="102"/>
      <c r="DP285" s="102"/>
      <c r="DQ285" s="102"/>
      <c r="DR285" s="102"/>
      <c r="DS285" s="102"/>
      <c r="DT285" s="102"/>
      <c r="DU285" s="102"/>
      <c r="DV285" s="102"/>
      <c r="DW285" s="102"/>
      <c r="DX285" s="102"/>
      <c r="DY285" s="102">
        <v>22.5</v>
      </c>
      <c r="DZ285" s="102"/>
      <c r="EA285" s="102"/>
      <c r="EB285" s="106"/>
      <c r="EC285" s="106"/>
      <c r="ED285" s="106"/>
      <c r="EE285" s="102"/>
    </row>
    <row r="286" spans="1:135" x14ac:dyDescent="0.15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  <c r="CW286" s="102"/>
      <c r="CX286" s="102"/>
      <c r="CY286" s="102"/>
      <c r="CZ286" s="102"/>
      <c r="DA286" s="102"/>
      <c r="DB286" s="102"/>
      <c r="DC286" s="102"/>
      <c r="DD286" s="102"/>
      <c r="DE286" s="102"/>
      <c r="DF286" s="102"/>
      <c r="DG286" s="102"/>
      <c r="DH286" s="102"/>
      <c r="DI286" s="102"/>
      <c r="DJ286" s="102"/>
      <c r="DK286" s="102"/>
      <c r="DL286" s="102"/>
      <c r="DM286" s="102"/>
      <c r="DN286" s="102"/>
      <c r="DO286" s="102"/>
      <c r="DP286" s="102"/>
      <c r="DQ286" s="102"/>
      <c r="DR286" s="102"/>
      <c r="DS286" s="102"/>
      <c r="DT286" s="102"/>
      <c r="DU286" s="102"/>
      <c r="DV286" s="102"/>
      <c r="DW286" s="102"/>
      <c r="DX286" s="102"/>
      <c r="DY286" s="102">
        <v>22.4</v>
      </c>
      <c r="DZ286" s="102"/>
      <c r="EA286" s="102"/>
      <c r="EB286" s="106"/>
      <c r="EC286" s="106"/>
      <c r="ED286" s="106"/>
      <c r="EE286" s="102"/>
    </row>
    <row r="287" spans="1:135" x14ac:dyDescent="0.15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02"/>
      <c r="DC287" s="102"/>
      <c r="DD287" s="102"/>
      <c r="DE287" s="102"/>
      <c r="DF287" s="102"/>
      <c r="DG287" s="102"/>
      <c r="DH287" s="102"/>
      <c r="DI287" s="102"/>
      <c r="DJ287" s="102"/>
      <c r="DK287" s="102"/>
      <c r="DL287" s="102"/>
      <c r="DM287" s="102"/>
      <c r="DN287" s="102"/>
      <c r="DO287" s="102"/>
      <c r="DP287" s="102"/>
      <c r="DQ287" s="102"/>
      <c r="DR287" s="102"/>
      <c r="DS287" s="102"/>
      <c r="DT287" s="102"/>
      <c r="DU287" s="102"/>
      <c r="DV287" s="102"/>
      <c r="DW287" s="102"/>
      <c r="DX287" s="102"/>
      <c r="DY287" s="102">
        <v>22.3</v>
      </c>
      <c r="DZ287" s="102"/>
      <c r="EA287" s="102"/>
      <c r="EB287" s="106"/>
      <c r="EC287" s="106"/>
      <c r="ED287" s="106"/>
      <c r="EE287" s="102"/>
    </row>
    <row r="288" spans="1:135" x14ac:dyDescent="0.15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  <c r="DO288" s="102"/>
      <c r="DP288" s="102"/>
      <c r="DQ288" s="102"/>
      <c r="DR288" s="102"/>
      <c r="DS288" s="102"/>
      <c r="DT288" s="102"/>
      <c r="DU288" s="102"/>
      <c r="DV288" s="102"/>
      <c r="DW288" s="102"/>
      <c r="DX288" s="102"/>
      <c r="DY288" s="102">
        <v>22.2</v>
      </c>
      <c r="DZ288" s="102"/>
      <c r="EA288" s="102"/>
      <c r="EB288" s="106"/>
      <c r="EC288" s="106"/>
      <c r="ED288" s="106"/>
      <c r="EE288" s="102"/>
    </row>
    <row r="289" spans="1:135" x14ac:dyDescent="0.15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02"/>
      <c r="DC289" s="102"/>
      <c r="DD289" s="102"/>
      <c r="DE289" s="102"/>
      <c r="DF289" s="102"/>
      <c r="DG289" s="102"/>
      <c r="DH289" s="102"/>
      <c r="DI289" s="102"/>
      <c r="DJ289" s="102"/>
      <c r="DK289" s="102"/>
      <c r="DL289" s="102"/>
      <c r="DM289" s="102"/>
      <c r="DN289" s="102"/>
      <c r="DO289" s="102"/>
      <c r="DP289" s="102"/>
      <c r="DQ289" s="102"/>
      <c r="DR289" s="102"/>
      <c r="DS289" s="102"/>
      <c r="DT289" s="102"/>
      <c r="DU289" s="102"/>
      <c r="DV289" s="102"/>
      <c r="DW289" s="102"/>
      <c r="DX289" s="102"/>
      <c r="DY289" s="102">
        <v>22.1</v>
      </c>
      <c r="DZ289" s="102"/>
      <c r="EA289" s="102"/>
      <c r="EB289" s="106"/>
      <c r="EC289" s="106"/>
      <c r="ED289" s="106"/>
      <c r="EE289" s="102"/>
    </row>
    <row r="290" spans="1:135" x14ac:dyDescent="0.15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02"/>
      <c r="DC290" s="102"/>
      <c r="DD290" s="102"/>
      <c r="DE290" s="102"/>
      <c r="DF290" s="102"/>
      <c r="DG290" s="102"/>
      <c r="DH290" s="102"/>
      <c r="DI290" s="102"/>
      <c r="DJ290" s="102"/>
      <c r="DK290" s="102"/>
      <c r="DL290" s="102"/>
      <c r="DM290" s="102"/>
      <c r="DN290" s="102"/>
      <c r="DO290" s="102"/>
      <c r="DP290" s="102"/>
      <c r="DQ290" s="102"/>
      <c r="DR290" s="102"/>
      <c r="DS290" s="102"/>
      <c r="DT290" s="102"/>
      <c r="DU290" s="102"/>
      <c r="DV290" s="102"/>
      <c r="DW290" s="102"/>
      <c r="DX290" s="102"/>
      <c r="DY290" s="102">
        <v>22</v>
      </c>
      <c r="DZ290" s="102"/>
      <c r="EA290" s="102"/>
      <c r="EB290" s="106"/>
      <c r="EC290" s="106"/>
      <c r="ED290" s="106"/>
      <c r="EE290" s="102"/>
    </row>
    <row r="291" spans="1:135" x14ac:dyDescent="0.15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  <c r="CW291" s="102"/>
      <c r="CX291" s="102"/>
      <c r="CY291" s="102"/>
      <c r="CZ291" s="102"/>
      <c r="DA291" s="102"/>
      <c r="DB291" s="102"/>
      <c r="DC291" s="102"/>
      <c r="DD291" s="102"/>
      <c r="DE291" s="102"/>
      <c r="DF291" s="102"/>
      <c r="DG291" s="102"/>
      <c r="DH291" s="102"/>
      <c r="DI291" s="102"/>
      <c r="DJ291" s="102"/>
      <c r="DK291" s="102"/>
      <c r="DL291" s="102"/>
      <c r="DM291" s="102"/>
      <c r="DN291" s="102"/>
      <c r="DO291" s="102"/>
      <c r="DP291" s="102"/>
      <c r="DQ291" s="102"/>
      <c r="DR291" s="102"/>
      <c r="DS291" s="102"/>
      <c r="DT291" s="102"/>
      <c r="DU291" s="102"/>
      <c r="DV291" s="102"/>
      <c r="DW291" s="102"/>
      <c r="DX291" s="102"/>
      <c r="DY291" s="102">
        <v>21.9</v>
      </c>
      <c r="DZ291" s="102"/>
      <c r="EA291" s="102"/>
      <c r="EB291" s="106"/>
      <c r="EC291" s="106"/>
      <c r="ED291" s="106"/>
      <c r="EE291" s="102"/>
    </row>
    <row r="292" spans="1:135" x14ac:dyDescent="0.15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  <c r="CW292" s="102"/>
      <c r="CX292" s="102"/>
      <c r="CY292" s="102"/>
      <c r="CZ292" s="102"/>
      <c r="DA292" s="102"/>
      <c r="DB292" s="102"/>
      <c r="DC292" s="102"/>
      <c r="DD292" s="102"/>
      <c r="DE292" s="102"/>
      <c r="DF292" s="102"/>
      <c r="DG292" s="102"/>
      <c r="DH292" s="102"/>
      <c r="DI292" s="102"/>
      <c r="DJ292" s="102"/>
      <c r="DK292" s="102"/>
      <c r="DL292" s="102"/>
      <c r="DM292" s="102"/>
      <c r="DN292" s="102"/>
      <c r="DO292" s="102"/>
      <c r="DP292" s="102"/>
      <c r="DQ292" s="102"/>
      <c r="DR292" s="102"/>
      <c r="DS292" s="102"/>
      <c r="DT292" s="102"/>
      <c r="DU292" s="102"/>
      <c r="DV292" s="102"/>
      <c r="DW292" s="102"/>
      <c r="DX292" s="102"/>
      <c r="DY292" s="102">
        <v>21.8</v>
      </c>
      <c r="DZ292" s="102"/>
      <c r="EA292" s="102"/>
      <c r="EB292" s="106"/>
      <c r="EC292" s="106"/>
      <c r="ED292" s="106"/>
      <c r="EE292" s="102"/>
    </row>
    <row r="293" spans="1:135" x14ac:dyDescent="0.15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  <c r="CW293" s="102"/>
      <c r="CX293" s="102"/>
      <c r="CY293" s="102"/>
      <c r="CZ293" s="102"/>
      <c r="DA293" s="102"/>
      <c r="DB293" s="102"/>
      <c r="DC293" s="102"/>
      <c r="DD293" s="102"/>
      <c r="DE293" s="102"/>
      <c r="DF293" s="102"/>
      <c r="DG293" s="102"/>
      <c r="DH293" s="102"/>
      <c r="DI293" s="102"/>
      <c r="DJ293" s="102"/>
      <c r="DK293" s="102"/>
      <c r="DL293" s="102"/>
      <c r="DM293" s="102"/>
      <c r="DN293" s="102"/>
      <c r="DO293" s="102"/>
      <c r="DP293" s="102"/>
      <c r="DQ293" s="102"/>
      <c r="DR293" s="102"/>
      <c r="DS293" s="102"/>
      <c r="DT293" s="102"/>
      <c r="DU293" s="102"/>
      <c r="DV293" s="102"/>
      <c r="DW293" s="102"/>
      <c r="DX293" s="102"/>
      <c r="DY293" s="102">
        <v>21.7</v>
      </c>
      <c r="DZ293" s="102"/>
      <c r="EA293" s="102"/>
      <c r="EB293" s="106"/>
      <c r="EC293" s="106"/>
      <c r="ED293" s="106"/>
      <c r="EE293" s="102"/>
    </row>
    <row r="294" spans="1:135" x14ac:dyDescent="0.15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  <c r="CW294" s="102"/>
      <c r="CX294" s="102"/>
      <c r="CY294" s="102"/>
      <c r="CZ294" s="102"/>
      <c r="DA294" s="102"/>
      <c r="DB294" s="102"/>
      <c r="DC294" s="102"/>
      <c r="DD294" s="102"/>
      <c r="DE294" s="102"/>
      <c r="DF294" s="102"/>
      <c r="DG294" s="102"/>
      <c r="DH294" s="102"/>
      <c r="DI294" s="102"/>
      <c r="DJ294" s="102"/>
      <c r="DK294" s="102"/>
      <c r="DL294" s="102"/>
      <c r="DM294" s="102"/>
      <c r="DN294" s="102"/>
      <c r="DO294" s="102"/>
      <c r="DP294" s="102"/>
      <c r="DQ294" s="102"/>
      <c r="DR294" s="102"/>
      <c r="DS294" s="102"/>
      <c r="DT294" s="102"/>
      <c r="DU294" s="102"/>
      <c r="DV294" s="102"/>
      <c r="DW294" s="102"/>
      <c r="DX294" s="102"/>
      <c r="DY294" s="102">
        <v>21.6</v>
      </c>
      <c r="DZ294" s="102"/>
      <c r="EA294" s="102"/>
      <c r="EB294" s="106"/>
      <c r="EC294" s="106"/>
      <c r="ED294" s="106"/>
      <c r="EE294" s="102"/>
    </row>
    <row r="295" spans="1:135" x14ac:dyDescent="0.15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  <c r="CW295" s="102"/>
      <c r="CX295" s="102"/>
      <c r="CY295" s="102"/>
      <c r="CZ295" s="102"/>
      <c r="DA295" s="102"/>
      <c r="DB295" s="102"/>
      <c r="DC295" s="102"/>
      <c r="DD295" s="102"/>
      <c r="DE295" s="102"/>
      <c r="DF295" s="102"/>
      <c r="DG295" s="102"/>
      <c r="DH295" s="102"/>
      <c r="DI295" s="102"/>
      <c r="DJ295" s="102"/>
      <c r="DK295" s="102"/>
      <c r="DL295" s="102"/>
      <c r="DM295" s="102"/>
      <c r="DN295" s="102"/>
      <c r="DO295" s="102"/>
      <c r="DP295" s="102"/>
      <c r="DQ295" s="102"/>
      <c r="DR295" s="102"/>
      <c r="DS295" s="102"/>
      <c r="DT295" s="102"/>
      <c r="DU295" s="102"/>
      <c r="DV295" s="102"/>
      <c r="DW295" s="102"/>
      <c r="DX295" s="102"/>
      <c r="DY295" s="102">
        <v>21.5</v>
      </c>
      <c r="DZ295" s="102"/>
      <c r="EA295" s="102"/>
      <c r="EB295" s="106"/>
      <c r="EC295" s="106"/>
      <c r="ED295" s="106"/>
      <c r="EE295" s="102"/>
    </row>
    <row r="296" spans="1:135" x14ac:dyDescent="0.15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  <c r="CW296" s="102"/>
      <c r="CX296" s="102"/>
      <c r="CY296" s="102"/>
      <c r="CZ296" s="102"/>
      <c r="DA296" s="102"/>
      <c r="DB296" s="102"/>
      <c r="DC296" s="102"/>
      <c r="DD296" s="102"/>
      <c r="DE296" s="102"/>
      <c r="DF296" s="102"/>
      <c r="DG296" s="102"/>
      <c r="DH296" s="102"/>
      <c r="DI296" s="102"/>
      <c r="DJ296" s="102"/>
      <c r="DK296" s="102"/>
      <c r="DL296" s="102"/>
      <c r="DM296" s="102"/>
      <c r="DN296" s="102"/>
      <c r="DO296" s="102"/>
      <c r="DP296" s="102"/>
      <c r="DQ296" s="102"/>
      <c r="DR296" s="102"/>
      <c r="DS296" s="102"/>
      <c r="DT296" s="102"/>
      <c r="DU296" s="102"/>
      <c r="DV296" s="102"/>
      <c r="DW296" s="102"/>
      <c r="DX296" s="102"/>
      <c r="DY296" s="102">
        <v>21.4</v>
      </c>
      <c r="DZ296" s="102"/>
      <c r="EA296" s="102"/>
      <c r="EB296" s="106"/>
      <c r="EC296" s="106"/>
      <c r="ED296" s="106"/>
      <c r="EE296" s="102"/>
    </row>
    <row r="297" spans="1:135" x14ac:dyDescent="0.15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02"/>
      <c r="DC297" s="102"/>
      <c r="DD297" s="102"/>
      <c r="DE297" s="102"/>
      <c r="DF297" s="102"/>
      <c r="DG297" s="102"/>
      <c r="DH297" s="102"/>
      <c r="DI297" s="102"/>
      <c r="DJ297" s="102"/>
      <c r="DK297" s="102"/>
      <c r="DL297" s="102"/>
      <c r="DM297" s="102"/>
      <c r="DN297" s="102"/>
      <c r="DO297" s="102"/>
      <c r="DP297" s="102"/>
      <c r="DQ297" s="102"/>
      <c r="DR297" s="102"/>
      <c r="DS297" s="102"/>
      <c r="DT297" s="102"/>
      <c r="DU297" s="102"/>
      <c r="DV297" s="102"/>
      <c r="DW297" s="102"/>
      <c r="DX297" s="102"/>
      <c r="DY297" s="102">
        <v>21.3</v>
      </c>
      <c r="DZ297" s="102"/>
      <c r="EA297" s="102"/>
      <c r="EB297" s="106"/>
      <c r="EC297" s="106"/>
      <c r="ED297" s="106"/>
      <c r="EE297" s="102"/>
    </row>
    <row r="298" spans="1:135" x14ac:dyDescent="0.15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  <c r="CW298" s="102"/>
      <c r="CX298" s="102"/>
      <c r="CY298" s="102"/>
      <c r="CZ298" s="102"/>
      <c r="DA298" s="102"/>
      <c r="DB298" s="102"/>
      <c r="DC298" s="102"/>
      <c r="DD298" s="102"/>
      <c r="DE298" s="102"/>
      <c r="DF298" s="102"/>
      <c r="DG298" s="102"/>
      <c r="DH298" s="102"/>
      <c r="DI298" s="102"/>
      <c r="DJ298" s="102"/>
      <c r="DK298" s="102"/>
      <c r="DL298" s="102"/>
      <c r="DM298" s="102"/>
      <c r="DN298" s="102"/>
      <c r="DO298" s="102"/>
      <c r="DP298" s="102"/>
      <c r="DQ298" s="102"/>
      <c r="DR298" s="102"/>
      <c r="DS298" s="102"/>
      <c r="DT298" s="102"/>
      <c r="DU298" s="102"/>
      <c r="DV298" s="102"/>
      <c r="DW298" s="102"/>
      <c r="DX298" s="102"/>
      <c r="DY298" s="102">
        <v>21.2</v>
      </c>
      <c r="DZ298" s="102"/>
      <c r="EA298" s="102"/>
      <c r="EB298" s="106"/>
      <c r="EC298" s="106"/>
      <c r="ED298" s="106"/>
      <c r="EE298" s="102"/>
    </row>
    <row r="299" spans="1:135" x14ac:dyDescent="0.15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  <c r="CW299" s="102"/>
      <c r="CX299" s="102"/>
      <c r="CY299" s="102"/>
      <c r="CZ299" s="102"/>
      <c r="DA299" s="102"/>
      <c r="DB299" s="102"/>
      <c r="DC299" s="102"/>
      <c r="DD299" s="102"/>
      <c r="DE299" s="102"/>
      <c r="DF299" s="102"/>
      <c r="DG299" s="102"/>
      <c r="DH299" s="102"/>
      <c r="DI299" s="102"/>
      <c r="DJ299" s="102"/>
      <c r="DK299" s="102"/>
      <c r="DL299" s="102"/>
      <c r="DM299" s="102"/>
      <c r="DN299" s="102"/>
      <c r="DO299" s="102"/>
      <c r="DP299" s="102"/>
      <c r="DQ299" s="102"/>
      <c r="DR299" s="102"/>
      <c r="DS299" s="102"/>
      <c r="DT299" s="102"/>
      <c r="DU299" s="102"/>
      <c r="DV299" s="102"/>
      <c r="DW299" s="102"/>
      <c r="DX299" s="102"/>
      <c r="DY299" s="102">
        <v>21.1</v>
      </c>
      <c r="DZ299" s="102"/>
      <c r="EA299" s="102"/>
      <c r="EB299" s="106"/>
      <c r="EC299" s="106"/>
      <c r="ED299" s="106"/>
      <c r="EE299" s="102"/>
    </row>
    <row r="300" spans="1:135" x14ac:dyDescent="0.15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  <c r="CW300" s="102"/>
      <c r="CX300" s="102"/>
      <c r="CY300" s="102"/>
      <c r="CZ300" s="102"/>
      <c r="DA300" s="102"/>
      <c r="DB300" s="102"/>
      <c r="DC300" s="102"/>
      <c r="DD300" s="102"/>
      <c r="DE300" s="102"/>
      <c r="DF300" s="102"/>
      <c r="DG300" s="102"/>
      <c r="DH300" s="102"/>
      <c r="DI300" s="102"/>
      <c r="DJ300" s="102"/>
      <c r="DK300" s="102"/>
      <c r="DL300" s="102"/>
      <c r="DM300" s="102"/>
      <c r="DN300" s="102"/>
      <c r="DO300" s="102"/>
      <c r="DP300" s="102"/>
      <c r="DQ300" s="102"/>
      <c r="DR300" s="102"/>
      <c r="DS300" s="102"/>
      <c r="DT300" s="102"/>
      <c r="DU300" s="102"/>
      <c r="DV300" s="102"/>
      <c r="DW300" s="102"/>
      <c r="DX300" s="102"/>
      <c r="DY300" s="102">
        <v>21</v>
      </c>
      <c r="DZ300" s="102"/>
      <c r="EA300" s="102"/>
      <c r="EB300" s="106"/>
      <c r="EC300" s="106"/>
      <c r="ED300" s="106"/>
      <c r="EE300" s="102"/>
    </row>
    <row r="301" spans="1:135" x14ac:dyDescent="0.15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  <c r="CW301" s="102"/>
      <c r="CX301" s="102"/>
      <c r="CY301" s="102"/>
      <c r="CZ301" s="102"/>
      <c r="DA301" s="102"/>
      <c r="DB301" s="102"/>
      <c r="DC301" s="102"/>
      <c r="DD301" s="102"/>
      <c r="DE301" s="102"/>
      <c r="DF301" s="102"/>
      <c r="DG301" s="102"/>
      <c r="DH301" s="102"/>
      <c r="DI301" s="102"/>
      <c r="DJ301" s="102"/>
      <c r="DK301" s="102"/>
      <c r="DL301" s="102"/>
      <c r="DM301" s="102"/>
      <c r="DN301" s="102"/>
      <c r="DO301" s="102"/>
      <c r="DP301" s="102"/>
      <c r="DQ301" s="102"/>
      <c r="DR301" s="102"/>
      <c r="DS301" s="102"/>
      <c r="DT301" s="102"/>
      <c r="DU301" s="102"/>
      <c r="DV301" s="102"/>
      <c r="DW301" s="102"/>
      <c r="DX301" s="102"/>
      <c r="DY301" s="102">
        <v>20.9</v>
      </c>
      <c r="DZ301" s="102"/>
      <c r="EA301" s="102"/>
      <c r="EB301" s="106"/>
      <c r="EC301" s="106"/>
      <c r="ED301" s="106"/>
      <c r="EE301" s="102"/>
    </row>
    <row r="302" spans="1:135" x14ac:dyDescent="0.15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  <c r="CW302" s="102"/>
      <c r="CX302" s="102"/>
      <c r="CY302" s="102"/>
      <c r="CZ302" s="102"/>
      <c r="DA302" s="102"/>
      <c r="DB302" s="102"/>
      <c r="DC302" s="102"/>
      <c r="DD302" s="102"/>
      <c r="DE302" s="102"/>
      <c r="DF302" s="102"/>
      <c r="DG302" s="102"/>
      <c r="DH302" s="102"/>
      <c r="DI302" s="102"/>
      <c r="DJ302" s="102"/>
      <c r="DK302" s="102"/>
      <c r="DL302" s="102"/>
      <c r="DM302" s="102"/>
      <c r="DN302" s="102"/>
      <c r="DO302" s="102"/>
      <c r="DP302" s="102"/>
      <c r="DQ302" s="102"/>
      <c r="DR302" s="102"/>
      <c r="DS302" s="102"/>
      <c r="DT302" s="102"/>
      <c r="DU302" s="102"/>
      <c r="DV302" s="102"/>
      <c r="DW302" s="102"/>
      <c r="DX302" s="102"/>
      <c r="DY302" s="102">
        <v>20.8</v>
      </c>
      <c r="DZ302" s="102"/>
      <c r="EA302" s="102"/>
      <c r="EB302" s="106"/>
      <c r="EC302" s="106"/>
      <c r="ED302" s="106"/>
      <c r="EE302" s="102"/>
    </row>
    <row r="303" spans="1:135" x14ac:dyDescent="0.15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  <c r="CW303" s="102"/>
      <c r="CX303" s="102"/>
      <c r="CY303" s="102"/>
      <c r="CZ303" s="102"/>
      <c r="DA303" s="102"/>
      <c r="DB303" s="102"/>
      <c r="DC303" s="102"/>
      <c r="DD303" s="102"/>
      <c r="DE303" s="102"/>
      <c r="DF303" s="102"/>
      <c r="DG303" s="102"/>
      <c r="DH303" s="102"/>
      <c r="DI303" s="102"/>
      <c r="DJ303" s="102"/>
      <c r="DK303" s="102"/>
      <c r="DL303" s="102"/>
      <c r="DM303" s="102"/>
      <c r="DN303" s="102"/>
      <c r="DO303" s="102"/>
      <c r="DP303" s="102"/>
      <c r="DQ303" s="102"/>
      <c r="DR303" s="102"/>
      <c r="DS303" s="102"/>
      <c r="DT303" s="102"/>
      <c r="DU303" s="102"/>
      <c r="DV303" s="102"/>
      <c r="DW303" s="102"/>
      <c r="DX303" s="102"/>
      <c r="DY303" s="102">
        <v>20.7</v>
      </c>
      <c r="DZ303" s="102"/>
      <c r="EA303" s="102"/>
      <c r="EB303" s="106"/>
      <c r="EC303" s="106"/>
      <c r="ED303" s="106"/>
      <c r="EE303" s="102"/>
    </row>
    <row r="304" spans="1:135" x14ac:dyDescent="0.15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  <c r="CW304" s="102"/>
      <c r="CX304" s="102"/>
      <c r="CY304" s="102"/>
      <c r="CZ304" s="102"/>
      <c r="DA304" s="102"/>
      <c r="DB304" s="102"/>
      <c r="DC304" s="102"/>
      <c r="DD304" s="102"/>
      <c r="DE304" s="102"/>
      <c r="DF304" s="102"/>
      <c r="DG304" s="102"/>
      <c r="DH304" s="102"/>
      <c r="DI304" s="102"/>
      <c r="DJ304" s="102"/>
      <c r="DK304" s="102"/>
      <c r="DL304" s="102"/>
      <c r="DM304" s="102"/>
      <c r="DN304" s="102"/>
      <c r="DO304" s="102"/>
      <c r="DP304" s="102"/>
      <c r="DQ304" s="102"/>
      <c r="DR304" s="102"/>
      <c r="DS304" s="102"/>
      <c r="DT304" s="102"/>
      <c r="DU304" s="102"/>
      <c r="DV304" s="102"/>
      <c r="DW304" s="102"/>
      <c r="DX304" s="102"/>
      <c r="DY304" s="102">
        <v>20.6</v>
      </c>
      <c r="DZ304" s="102"/>
      <c r="EA304" s="102"/>
      <c r="EB304" s="106"/>
      <c r="EC304" s="106"/>
      <c r="ED304" s="106"/>
      <c r="EE304" s="102"/>
    </row>
    <row r="305" spans="1:135" x14ac:dyDescent="0.15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  <c r="CW305" s="102"/>
      <c r="CX305" s="102"/>
      <c r="CY305" s="102"/>
      <c r="CZ305" s="102"/>
      <c r="DA305" s="102"/>
      <c r="DB305" s="102"/>
      <c r="DC305" s="102"/>
      <c r="DD305" s="102"/>
      <c r="DE305" s="102"/>
      <c r="DF305" s="102"/>
      <c r="DG305" s="102"/>
      <c r="DH305" s="102"/>
      <c r="DI305" s="102"/>
      <c r="DJ305" s="102"/>
      <c r="DK305" s="102"/>
      <c r="DL305" s="102"/>
      <c r="DM305" s="102"/>
      <c r="DN305" s="102"/>
      <c r="DO305" s="102"/>
      <c r="DP305" s="102"/>
      <c r="DQ305" s="102"/>
      <c r="DR305" s="102"/>
      <c r="DS305" s="102"/>
      <c r="DT305" s="102"/>
      <c r="DU305" s="102"/>
      <c r="DV305" s="102"/>
      <c r="DW305" s="102"/>
      <c r="DX305" s="102"/>
      <c r="DY305" s="102">
        <v>20.5</v>
      </c>
      <c r="DZ305" s="102"/>
      <c r="EA305" s="102"/>
      <c r="EB305" s="106"/>
      <c r="EC305" s="106"/>
      <c r="ED305" s="106"/>
      <c r="EE305" s="102"/>
    </row>
    <row r="306" spans="1:135" x14ac:dyDescent="0.1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  <c r="DO306" s="102"/>
      <c r="DP306" s="102"/>
      <c r="DQ306" s="102"/>
      <c r="DR306" s="102"/>
      <c r="DS306" s="102"/>
      <c r="DT306" s="102"/>
      <c r="DU306" s="102"/>
      <c r="DV306" s="102"/>
      <c r="DW306" s="102"/>
      <c r="DX306" s="102"/>
      <c r="DY306" s="102">
        <v>20.399999999999999</v>
      </c>
      <c r="DZ306" s="102"/>
      <c r="EA306" s="102"/>
      <c r="EB306" s="106"/>
      <c r="EC306" s="106"/>
      <c r="ED306" s="106"/>
      <c r="EE306" s="102"/>
    </row>
    <row r="307" spans="1:135" x14ac:dyDescent="0.15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  <c r="CW307" s="102"/>
      <c r="CX307" s="102"/>
      <c r="CY307" s="102"/>
      <c r="CZ307" s="102"/>
      <c r="DA307" s="102"/>
      <c r="DB307" s="102"/>
      <c r="DC307" s="102"/>
      <c r="DD307" s="102"/>
      <c r="DE307" s="102"/>
      <c r="DF307" s="102"/>
      <c r="DG307" s="102"/>
      <c r="DH307" s="102"/>
      <c r="DI307" s="102"/>
      <c r="DJ307" s="102"/>
      <c r="DK307" s="102"/>
      <c r="DL307" s="102"/>
      <c r="DM307" s="102"/>
      <c r="DN307" s="102"/>
      <c r="DO307" s="102"/>
      <c r="DP307" s="102"/>
      <c r="DQ307" s="102"/>
      <c r="DR307" s="102"/>
      <c r="DS307" s="102"/>
      <c r="DT307" s="102"/>
      <c r="DU307" s="102"/>
      <c r="DV307" s="102"/>
      <c r="DW307" s="102"/>
      <c r="DX307" s="102"/>
      <c r="DY307" s="102">
        <v>20.3</v>
      </c>
      <c r="DZ307" s="102"/>
      <c r="EA307" s="102"/>
      <c r="EB307" s="106"/>
      <c r="EC307" s="106"/>
      <c r="ED307" s="106"/>
      <c r="EE307" s="102"/>
    </row>
    <row r="308" spans="1:135" x14ac:dyDescent="0.15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  <c r="CW308" s="102"/>
      <c r="CX308" s="102"/>
      <c r="CY308" s="102"/>
      <c r="CZ308" s="102"/>
      <c r="DA308" s="102"/>
      <c r="DB308" s="102"/>
      <c r="DC308" s="102"/>
      <c r="DD308" s="102"/>
      <c r="DE308" s="102"/>
      <c r="DF308" s="102"/>
      <c r="DG308" s="102"/>
      <c r="DH308" s="102"/>
      <c r="DI308" s="102"/>
      <c r="DJ308" s="102"/>
      <c r="DK308" s="102"/>
      <c r="DL308" s="102"/>
      <c r="DM308" s="102"/>
      <c r="DN308" s="102"/>
      <c r="DO308" s="102"/>
      <c r="DP308" s="102"/>
      <c r="DQ308" s="102"/>
      <c r="DR308" s="102"/>
      <c r="DS308" s="102"/>
      <c r="DT308" s="102"/>
      <c r="DU308" s="102"/>
      <c r="DV308" s="102"/>
      <c r="DW308" s="102"/>
      <c r="DX308" s="102"/>
      <c r="DY308" s="102">
        <v>20.2</v>
      </c>
      <c r="DZ308" s="102"/>
      <c r="EA308" s="102"/>
      <c r="EB308" s="106"/>
      <c r="EC308" s="106"/>
      <c r="ED308" s="106"/>
      <c r="EE308" s="102"/>
    </row>
    <row r="309" spans="1:135" x14ac:dyDescent="0.15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  <c r="CW309" s="102"/>
      <c r="CX309" s="102"/>
      <c r="CY309" s="102"/>
      <c r="CZ309" s="102"/>
      <c r="DA309" s="102"/>
      <c r="DB309" s="102"/>
      <c r="DC309" s="102"/>
      <c r="DD309" s="102"/>
      <c r="DE309" s="102"/>
      <c r="DF309" s="102"/>
      <c r="DG309" s="102"/>
      <c r="DH309" s="102"/>
      <c r="DI309" s="102"/>
      <c r="DJ309" s="102"/>
      <c r="DK309" s="102"/>
      <c r="DL309" s="102"/>
      <c r="DM309" s="102"/>
      <c r="DN309" s="102"/>
      <c r="DO309" s="102"/>
      <c r="DP309" s="102"/>
      <c r="DQ309" s="102"/>
      <c r="DR309" s="102"/>
      <c r="DS309" s="102"/>
      <c r="DT309" s="102"/>
      <c r="DU309" s="102"/>
      <c r="DV309" s="102"/>
      <c r="DW309" s="102"/>
      <c r="DX309" s="102"/>
      <c r="DY309" s="102">
        <v>20.100000000000001</v>
      </c>
      <c r="DZ309" s="102"/>
      <c r="EA309" s="102"/>
      <c r="EB309" s="106"/>
      <c r="EC309" s="106"/>
      <c r="ED309" s="106"/>
      <c r="EE309" s="102"/>
    </row>
    <row r="310" spans="1:135" x14ac:dyDescent="0.15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  <c r="CW310" s="102"/>
      <c r="CX310" s="102"/>
      <c r="CY310" s="102"/>
      <c r="CZ310" s="102"/>
      <c r="DA310" s="102"/>
      <c r="DB310" s="102"/>
      <c r="DC310" s="102"/>
      <c r="DD310" s="102"/>
      <c r="DE310" s="102"/>
      <c r="DF310" s="102"/>
      <c r="DG310" s="102"/>
      <c r="DH310" s="102"/>
      <c r="DI310" s="102"/>
      <c r="DJ310" s="102"/>
      <c r="DK310" s="102"/>
      <c r="DL310" s="102"/>
      <c r="DM310" s="102"/>
      <c r="DN310" s="102"/>
      <c r="DO310" s="102"/>
      <c r="DP310" s="102"/>
      <c r="DQ310" s="102"/>
      <c r="DR310" s="102"/>
      <c r="DS310" s="102"/>
      <c r="DT310" s="102"/>
      <c r="DU310" s="102"/>
      <c r="DV310" s="102"/>
      <c r="DW310" s="102"/>
      <c r="DX310" s="102"/>
      <c r="DY310" s="102">
        <v>20</v>
      </c>
      <c r="DZ310" s="102"/>
      <c r="EA310" s="102"/>
      <c r="EB310" s="106"/>
      <c r="EC310" s="106"/>
      <c r="ED310" s="106"/>
      <c r="EE310" s="102"/>
    </row>
    <row r="311" spans="1:135" x14ac:dyDescent="0.15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  <c r="CW311" s="102"/>
      <c r="CX311" s="102"/>
      <c r="CY311" s="102"/>
      <c r="CZ311" s="102"/>
      <c r="DA311" s="102"/>
      <c r="DB311" s="102"/>
      <c r="DC311" s="102"/>
      <c r="DD311" s="102"/>
      <c r="DE311" s="102"/>
      <c r="DF311" s="102"/>
      <c r="DG311" s="102"/>
      <c r="DH311" s="102"/>
      <c r="DI311" s="102"/>
      <c r="DJ311" s="102"/>
      <c r="DK311" s="102"/>
      <c r="DL311" s="102"/>
      <c r="DM311" s="102"/>
      <c r="DN311" s="102"/>
      <c r="DO311" s="102"/>
      <c r="DP311" s="102"/>
      <c r="DQ311" s="102"/>
      <c r="DR311" s="102"/>
      <c r="DS311" s="102"/>
      <c r="DT311" s="102"/>
      <c r="DU311" s="102"/>
      <c r="DV311" s="102"/>
      <c r="DW311" s="102"/>
      <c r="DX311" s="102"/>
      <c r="DY311" s="102">
        <v>19.899999999999999</v>
      </c>
      <c r="DZ311" s="102"/>
      <c r="EA311" s="102"/>
      <c r="EB311" s="106"/>
      <c r="EC311" s="106"/>
      <c r="ED311" s="106"/>
      <c r="EE311" s="102"/>
    </row>
    <row r="312" spans="1:135" x14ac:dyDescent="0.15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  <c r="CW312" s="102"/>
      <c r="CX312" s="102"/>
      <c r="CY312" s="102"/>
      <c r="CZ312" s="102"/>
      <c r="DA312" s="102"/>
      <c r="DB312" s="102"/>
      <c r="DC312" s="102"/>
      <c r="DD312" s="102"/>
      <c r="DE312" s="102"/>
      <c r="DF312" s="102"/>
      <c r="DG312" s="102"/>
      <c r="DH312" s="102"/>
      <c r="DI312" s="102"/>
      <c r="DJ312" s="102"/>
      <c r="DK312" s="102"/>
      <c r="DL312" s="102"/>
      <c r="DM312" s="102"/>
      <c r="DN312" s="102"/>
      <c r="DO312" s="102"/>
      <c r="DP312" s="102"/>
      <c r="DQ312" s="102"/>
      <c r="DR312" s="102"/>
      <c r="DS312" s="102"/>
      <c r="DT312" s="102"/>
      <c r="DU312" s="102"/>
      <c r="DV312" s="102"/>
      <c r="DW312" s="102"/>
      <c r="DX312" s="102"/>
      <c r="DY312" s="102">
        <v>19.8</v>
      </c>
      <c r="DZ312" s="102"/>
      <c r="EA312" s="102"/>
      <c r="EB312" s="106"/>
      <c r="EC312" s="106"/>
      <c r="ED312" s="106"/>
      <c r="EE312" s="102"/>
    </row>
    <row r="313" spans="1:135" x14ac:dyDescent="0.15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>
        <v>19.7</v>
      </c>
      <c r="DZ313" s="102"/>
      <c r="EA313" s="102"/>
      <c r="EB313" s="106"/>
      <c r="EC313" s="106"/>
      <c r="ED313" s="106"/>
      <c r="EE313" s="102"/>
    </row>
    <row r="314" spans="1:135" x14ac:dyDescent="0.15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  <c r="CW314" s="102"/>
      <c r="CX314" s="102"/>
      <c r="CY314" s="102"/>
      <c r="CZ314" s="102"/>
      <c r="DA314" s="102"/>
      <c r="DB314" s="102"/>
      <c r="DC314" s="102"/>
      <c r="DD314" s="102"/>
      <c r="DE314" s="102"/>
      <c r="DF314" s="102"/>
      <c r="DG314" s="102"/>
      <c r="DH314" s="102"/>
      <c r="DI314" s="102"/>
      <c r="DJ314" s="102"/>
      <c r="DK314" s="102"/>
      <c r="DL314" s="102"/>
      <c r="DM314" s="102"/>
      <c r="DN314" s="102"/>
      <c r="DO314" s="102"/>
      <c r="DP314" s="102"/>
      <c r="DQ314" s="102"/>
      <c r="DR314" s="102"/>
      <c r="DS314" s="102"/>
      <c r="DT314" s="102"/>
      <c r="DU314" s="102"/>
      <c r="DV314" s="102"/>
      <c r="DW314" s="102"/>
      <c r="DX314" s="102"/>
      <c r="DY314" s="102">
        <v>19.600000000000001</v>
      </c>
      <c r="DZ314" s="102"/>
      <c r="EA314" s="102"/>
      <c r="EB314" s="106"/>
      <c r="EC314" s="106"/>
      <c r="ED314" s="106"/>
      <c r="EE314" s="102"/>
    </row>
    <row r="315" spans="1:135" x14ac:dyDescent="0.15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>
        <v>19.5</v>
      </c>
      <c r="DZ315" s="102"/>
      <c r="EA315" s="102"/>
      <c r="EB315" s="106"/>
      <c r="EC315" s="106"/>
      <c r="ED315" s="106"/>
      <c r="EE315" s="102"/>
    </row>
    <row r="316" spans="1:135" x14ac:dyDescent="0.1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>
        <v>19.399999999999999</v>
      </c>
      <c r="DZ316" s="102"/>
      <c r="EA316" s="102"/>
      <c r="EB316" s="106"/>
      <c r="EC316" s="106"/>
      <c r="ED316" s="106"/>
      <c r="EE316" s="102"/>
    </row>
    <row r="317" spans="1:135" x14ac:dyDescent="0.15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  <c r="CW317" s="102"/>
      <c r="CX317" s="102"/>
      <c r="CY317" s="102"/>
      <c r="CZ317" s="102"/>
      <c r="DA317" s="102"/>
      <c r="DB317" s="102"/>
      <c r="DC317" s="102"/>
      <c r="DD317" s="102"/>
      <c r="DE317" s="102"/>
      <c r="DF317" s="102"/>
      <c r="DG317" s="102"/>
      <c r="DH317" s="102"/>
      <c r="DI317" s="102"/>
      <c r="DJ317" s="102"/>
      <c r="DK317" s="102"/>
      <c r="DL317" s="102"/>
      <c r="DM317" s="102"/>
      <c r="DN317" s="102"/>
      <c r="DO317" s="102"/>
      <c r="DP317" s="102"/>
      <c r="DQ317" s="102"/>
      <c r="DR317" s="102"/>
      <c r="DS317" s="102"/>
      <c r="DT317" s="102"/>
      <c r="DU317" s="102"/>
      <c r="DV317" s="102"/>
      <c r="DW317" s="102"/>
      <c r="DX317" s="102"/>
      <c r="DY317" s="102">
        <v>19.3</v>
      </c>
      <c r="DZ317" s="102"/>
      <c r="EA317" s="102"/>
      <c r="EB317" s="106"/>
      <c r="EC317" s="106"/>
      <c r="ED317" s="106"/>
      <c r="EE317" s="102"/>
    </row>
    <row r="318" spans="1:135" x14ac:dyDescent="0.15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  <c r="CW318" s="102"/>
      <c r="CX318" s="102"/>
      <c r="CY318" s="102"/>
      <c r="CZ318" s="102"/>
      <c r="DA318" s="102"/>
      <c r="DB318" s="102"/>
      <c r="DC318" s="102"/>
      <c r="DD318" s="102"/>
      <c r="DE318" s="102"/>
      <c r="DF318" s="102"/>
      <c r="DG318" s="102"/>
      <c r="DH318" s="102"/>
      <c r="DI318" s="102"/>
      <c r="DJ318" s="102"/>
      <c r="DK318" s="102"/>
      <c r="DL318" s="102"/>
      <c r="DM318" s="102"/>
      <c r="DN318" s="102"/>
      <c r="DO318" s="102"/>
      <c r="DP318" s="102"/>
      <c r="DQ318" s="102"/>
      <c r="DR318" s="102"/>
      <c r="DS318" s="102"/>
      <c r="DT318" s="102"/>
      <c r="DU318" s="102"/>
      <c r="DV318" s="102"/>
      <c r="DW318" s="102"/>
      <c r="DX318" s="102"/>
      <c r="DY318" s="102">
        <v>19.2</v>
      </c>
      <c r="DZ318" s="102"/>
      <c r="EA318" s="102"/>
      <c r="EB318" s="106"/>
      <c r="EC318" s="106"/>
      <c r="ED318" s="106"/>
      <c r="EE318" s="102"/>
    </row>
    <row r="319" spans="1:135" x14ac:dyDescent="0.15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  <c r="CW319" s="102"/>
      <c r="CX319" s="102"/>
      <c r="CY319" s="102"/>
      <c r="CZ319" s="102"/>
      <c r="DA319" s="102"/>
      <c r="DB319" s="102"/>
      <c r="DC319" s="102"/>
      <c r="DD319" s="102"/>
      <c r="DE319" s="102"/>
      <c r="DF319" s="102"/>
      <c r="DG319" s="102"/>
      <c r="DH319" s="102"/>
      <c r="DI319" s="102"/>
      <c r="DJ319" s="102"/>
      <c r="DK319" s="102"/>
      <c r="DL319" s="102"/>
      <c r="DM319" s="102"/>
      <c r="DN319" s="102"/>
      <c r="DO319" s="102"/>
      <c r="DP319" s="102"/>
      <c r="DQ319" s="102"/>
      <c r="DR319" s="102"/>
      <c r="DS319" s="102"/>
      <c r="DT319" s="102"/>
      <c r="DU319" s="102"/>
      <c r="DV319" s="102"/>
      <c r="DW319" s="102"/>
      <c r="DX319" s="102"/>
      <c r="DY319" s="102">
        <v>19.100000000000001</v>
      </c>
      <c r="DZ319" s="102"/>
      <c r="EA319" s="102"/>
      <c r="EB319" s="106"/>
      <c r="EC319" s="106"/>
      <c r="ED319" s="106"/>
      <c r="EE319" s="102"/>
    </row>
    <row r="320" spans="1:135" x14ac:dyDescent="0.15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  <c r="CW320" s="102"/>
      <c r="CX320" s="102"/>
      <c r="CY320" s="102"/>
      <c r="CZ320" s="102"/>
      <c r="DA320" s="102"/>
      <c r="DB320" s="102"/>
      <c r="DC320" s="102"/>
      <c r="DD320" s="102"/>
      <c r="DE320" s="102"/>
      <c r="DF320" s="102"/>
      <c r="DG320" s="102"/>
      <c r="DH320" s="102"/>
      <c r="DI320" s="102"/>
      <c r="DJ320" s="102"/>
      <c r="DK320" s="102"/>
      <c r="DL320" s="102"/>
      <c r="DM320" s="102"/>
      <c r="DN320" s="102"/>
      <c r="DO320" s="102"/>
      <c r="DP320" s="102"/>
      <c r="DQ320" s="102"/>
      <c r="DR320" s="102"/>
      <c r="DS320" s="102"/>
      <c r="DT320" s="102"/>
      <c r="DU320" s="102"/>
      <c r="DV320" s="102"/>
      <c r="DW320" s="102"/>
      <c r="DX320" s="102"/>
      <c r="DY320" s="102">
        <v>19</v>
      </c>
      <c r="DZ320" s="102"/>
      <c r="EA320" s="102"/>
      <c r="EB320" s="106"/>
      <c r="EC320" s="106"/>
      <c r="ED320" s="106"/>
      <c r="EE320" s="102"/>
    </row>
    <row r="321" spans="1:135" x14ac:dyDescent="0.15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  <c r="CW321" s="102"/>
      <c r="CX321" s="102"/>
      <c r="CY321" s="102"/>
      <c r="CZ321" s="102"/>
      <c r="DA321" s="102"/>
      <c r="DB321" s="102"/>
      <c r="DC321" s="102"/>
      <c r="DD321" s="102"/>
      <c r="DE321" s="102"/>
      <c r="DF321" s="102"/>
      <c r="DG321" s="102"/>
      <c r="DH321" s="102"/>
      <c r="DI321" s="102"/>
      <c r="DJ321" s="102"/>
      <c r="DK321" s="102"/>
      <c r="DL321" s="102"/>
      <c r="DM321" s="102"/>
      <c r="DN321" s="102"/>
      <c r="DO321" s="102"/>
      <c r="DP321" s="102"/>
      <c r="DQ321" s="102"/>
      <c r="DR321" s="102"/>
      <c r="DS321" s="102"/>
      <c r="DT321" s="102"/>
      <c r="DU321" s="102"/>
      <c r="DV321" s="102"/>
      <c r="DW321" s="102"/>
      <c r="DX321" s="102"/>
      <c r="DY321" s="102">
        <v>18.899999999999999</v>
      </c>
      <c r="DZ321" s="102"/>
      <c r="EA321" s="102"/>
      <c r="EB321" s="106"/>
      <c r="EC321" s="106"/>
      <c r="ED321" s="106"/>
      <c r="EE321" s="102"/>
    </row>
    <row r="322" spans="1:135" x14ac:dyDescent="0.15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  <c r="CW322" s="102"/>
      <c r="CX322" s="102"/>
      <c r="CY322" s="102"/>
      <c r="CZ322" s="102"/>
      <c r="DA322" s="102"/>
      <c r="DB322" s="102"/>
      <c r="DC322" s="102"/>
      <c r="DD322" s="102"/>
      <c r="DE322" s="102"/>
      <c r="DF322" s="102"/>
      <c r="DG322" s="102"/>
      <c r="DH322" s="102"/>
      <c r="DI322" s="102"/>
      <c r="DJ322" s="102"/>
      <c r="DK322" s="102"/>
      <c r="DL322" s="102"/>
      <c r="DM322" s="102"/>
      <c r="DN322" s="102"/>
      <c r="DO322" s="102"/>
      <c r="DP322" s="102"/>
      <c r="DQ322" s="102"/>
      <c r="DR322" s="102"/>
      <c r="DS322" s="102"/>
      <c r="DT322" s="102"/>
      <c r="DU322" s="102"/>
      <c r="DV322" s="102"/>
      <c r="DW322" s="102"/>
      <c r="DX322" s="102"/>
      <c r="DY322" s="102">
        <v>18.8</v>
      </c>
      <c r="DZ322" s="102"/>
      <c r="EA322" s="102"/>
      <c r="EB322" s="106"/>
      <c r="EC322" s="106"/>
      <c r="ED322" s="106"/>
      <c r="EE322" s="102"/>
    </row>
    <row r="323" spans="1:135" x14ac:dyDescent="0.15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  <c r="CW323" s="102"/>
      <c r="CX323" s="102"/>
      <c r="CY323" s="102"/>
      <c r="CZ323" s="102"/>
      <c r="DA323" s="102"/>
      <c r="DB323" s="102"/>
      <c r="DC323" s="102"/>
      <c r="DD323" s="102"/>
      <c r="DE323" s="102"/>
      <c r="DF323" s="102"/>
      <c r="DG323" s="102"/>
      <c r="DH323" s="102"/>
      <c r="DI323" s="102"/>
      <c r="DJ323" s="102"/>
      <c r="DK323" s="102"/>
      <c r="DL323" s="102"/>
      <c r="DM323" s="102"/>
      <c r="DN323" s="102"/>
      <c r="DO323" s="102"/>
      <c r="DP323" s="102"/>
      <c r="DQ323" s="102"/>
      <c r="DR323" s="102"/>
      <c r="DS323" s="102"/>
      <c r="DT323" s="102"/>
      <c r="DU323" s="102"/>
      <c r="DV323" s="102"/>
      <c r="DW323" s="102"/>
      <c r="DX323" s="102"/>
      <c r="DY323" s="102">
        <v>18.7</v>
      </c>
      <c r="DZ323" s="102"/>
      <c r="EA323" s="102"/>
      <c r="EB323" s="106"/>
      <c r="EC323" s="106"/>
      <c r="ED323" s="106"/>
      <c r="EE323" s="102"/>
    </row>
    <row r="324" spans="1:135" x14ac:dyDescent="0.15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  <c r="CW324" s="102"/>
      <c r="CX324" s="102"/>
      <c r="CY324" s="102"/>
      <c r="CZ324" s="102"/>
      <c r="DA324" s="102"/>
      <c r="DB324" s="102"/>
      <c r="DC324" s="102"/>
      <c r="DD324" s="102"/>
      <c r="DE324" s="102"/>
      <c r="DF324" s="102"/>
      <c r="DG324" s="102"/>
      <c r="DH324" s="102"/>
      <c r="DI324" s="102"/>
      <c r="DJ324" s="102"/>
      <c r="DK324" s="102"/>
      <c r="DL324" s="102"/>
      <c r="DM324" s="102"/>
      <c r="DN324" s="102"/>
      <c r="DO324" s="102"/>
      <c r="DP324" s="102"/>
      <c r="DQ324" s="102"/>
      <c r="DR324" s="102"/>
      <c r="DS324" s="102"/>
      <c r="DT324" s="102"/>
      <c r="DU324" s="102"/>
      <c r="DV324" s="102"/>
      <c r="DW324" s="102"/>
      <c r="DX324" s="102"/>
      <c r="DY324" s="102">
        <v>18.600000000000001</v>
      </c>
      <c r="DZ324" s="102"/>
      <c r="EA324" s="102"/>
      <c r="EB324" s="106"/>
      <c r="EC324" s="106"/>
      <c r="ED324" s="106"/>
      <c r="EE324" s="102"/>
    </row>
    <row r="325" spans="1:135" x14ac:dyDescent="0.15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  <c r="CW325" s="102"/>
      <c r="CX325" s="102"/>
      <c r="CY325" s="102"/>
      <c r="CZ325" s="102"/>
      <c r="DA325" s="102"/>
      <c r="DB325" s="102"/>
      <c r="DC325" s="102"/>
      <c r="DD325" s="102"/>
      <c r="DE325" s="102"/>
      <c r="DF325" s="102"/>
      <c r="DG325" s="102"/>
      <c r="DH325" s="102"/>
      <c r="DI325" s="102"/>
      <c r="DJ325" s="102"/>
      <c r="DK325" s="102"/>
      <c r="DL325" s="102"/>
      <c r="DM325" s="102"/>
      <c r="DN325" s="102"/>
      <c r="DO325" s="102"/>
      <c r="DP325" s="102"/>
      <c r="DQ325" s="102"/>
      <c r="DR325" s="102"/>
      <c r="DS325" s="102"/>
      <c r="DT325" s="102"/>
      <c r="DU325" s="102"/>
      <c r="DV325" s="102"/>
      <c r="DW325" s="102"/>
      <c r="DX325" s="102"/>
      <c r="DY325" s="102">
        <v>18.5</v>
      </c>
      <c r="DZ325" s="102"/>
      <c r="EA325" s="102"/>
      <c r="EB325" s="106"/>
      <c r="EC325" s="106"/>
      <c r="ED325" s="106"/>
      <c r="EE325" s="102"/>
    </row>
    <row r="326" spans="1:135" x14ac:dyDescent="0.15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  <c r="CW326" s="102"/>
      <c r="CX326" s="102"/>
      <c r="CY326" s="102"/>
      <c r="CZ326" s="102"/>
      <c r="DA326" s="102"/>
      <c r="DB326" s="102"/>
      <c r="DC326" s="102"/>
      <c r="DD326" s="102"/>
      <c r="DE326" s="102"/>
      <c r="DF326" s="102"/>
      <c r="DG326" s="102"/>
      <c r="DH326" s="102"/>
      <c r="DI326" s="102"/>
      <c r="DJ326" s="102"/>
      <c r="DK326" s="102"/>
      <c r="DL326" s="102"/>
      <c r="DM326" s="102"/>
      <c r="DN326" s="102"/>
      <c r="DO326" s="102"/>
      <c r="DP326" s="102"/>
      <c r="DQ326" s="102"/>
      <c r="DR326" s="102"/>
      <c r="DS326" s="102"/>
      <c r="DT326" s="102"/>
      <c r="DU326" s="102"/>
      <c r="DV326" s="102"/>
      <c r="DW326" s="102"/>
      <c r="DX326" s="102"/>
      <c r="DY326" s="102">
        <v>18.399999999999999</v>
      </c>
      <c r="DZ326" s="102"/>
      <c r="EA326" s="102"/>
      <c r="EB326" s="106"/>
      <c r="EC326" s="106"/>
      <c r="ED326" s="106"/>
      <c r="EE326" s="102"/>
    </row>
    <row r="327" spans="1:135" x14ac:dyDescent="0.15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  <c r="CW327" s="102"/>
      <c r="CX327" s="102"/>
      <c r="CY327" s="102"/>
      <c r="CZ327" s="102"/>
      <c r="DA327" s="102"/>
      <c r="DB327" s="102"/>
      <c r="DC327" s="102"/>
      <c r="DD327" s="102"/>
      <c r="DE327" s="102"/>
      <c r="DF327" s="102"/>
      <c r="DG327" s="102"/>
      <c r="DH327" s="102"/>
      <c r="DI327" s="102"/>
      <c r="DJ327" s="102"/>
      <c r="DK327" s="102"/>
      <c r="DL327" s="102"/>
      <c r="DM327" s="102"/>
      <c r="DN327" s="102"/>
      <c r="DO327" s="102"/>
      <c r="DP327" s="102"/>
      <c r="DQ327" s="102"/>
      <c r="DR327" s="102"/>
      <c r="DS327" s="102"/>
      <c r="DT327" s="102"/>
      <c r="DU327" s="102"/>
      <c r="DV327" s="102"/>
      <c r="DW327" s="102"/>
      <c r="DX327" s="102"/>
      <c r="DY327" s="102">
        <v>18.3</v>
      </c>
      <c r="DZ327" s="102"/>
      <c r="EA327" s="102"/>
      <c r="EB327" s="106"/>
      <c r="EC327" s="106"/>
      <c r="ED327" s="106"/>
      <c r="EE327" s="102"/>
    </row>
    <row r="328" spans="1:135" x14ac:dyDescent="0.15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  <c r="CW328" s="102"/>
      <c r="CX328" s="102"/>
      <c r="CY328" s="102"/>
      <c r="CZ328" s="102"/>
      <c r="DA328" s="102"/>
      <c r="DB328" s="102"/>
      <c r="DC328" s="102"/>
      <c r="DD328" s="102"/>
      <c r="DE328" s="102"/>
      <c r="DF328" s="102"/>
      <c r="DG328" s="102"/>
      <c r="DH328" s="102"/>
      <c r="DI328" s="102"/>
      <c r="DJ328" s="102"/>
      <c r="DK328" s="102"/>
      <c r="DL328" s="102"/>
      <c r="DM328" s="102"/>
      <c r="DN328" s="102"/>
      <c r="DO328" s="102"/>
      <c r="DP328" s="102"/>
      <c r="DQ328" s="102"/>
      <c r="DR328" s="102"/>
      <c r="DS328" s="102"/>
      <c r="DT328" s="102"/>
      <c r="DU328" s="102"/>
      <c r="DV328" s="102"/>
      <c r="DW328" s="102"/>
      <c r="DX328" s="102"/>
      <c r="DY328" s="102">
        <v>18.2</v>
      </c>
      <c r="DZ328" s="102"/>
      <c r="EA328" s="102"/>
      <c r="EB328" s="106"/>
      <c r="EC328" s="106"/>
      <c r="ED328" s="106"/>
      <c r="EE328" s="102"/>
    </row>
    <row r="329" spans="1:135" x14ac:dyDescent="0.15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  <c r="CW329" s="102"/>
      <c r="CX329" s="102"/>
      <c r="CY329" s="102"/>
      <c r="CZ329" s="102"/>
      <c r="DA329" s="102"/>
      <c r="DB329" s="102"/>
      <c r="DC329" s="102"/>
      <c r="DD329" s="102"/>
      <c r="DE329" s="102"/>
      <c r="DF329" s="102"/>
      <c r="DG329" s="102"/>
      <c r="DH329" s="102"/>
      <c r="DI329" s="102"/>
      <c r="DJ329" s="102"/>
      <c r="DK329" s="102"/>
      <c r="DL329" s="102"/>
      <c r="DM329" s="102"/>
      <c r="DN329" s="102"/>
      <c r="DO329" s="102"/>
      <c r="DP329" s="102"/>
      <c r="DQ329" s="102"/>
      <c r="DR329" s="102"/>
      <c r="DS329" s="102"/>
      <c r="DT329" s="102"/>
      <c r="DU329" s="102"/>
      <c r="DV329" s="102"/>
      <c r="DW329" s="102"/>
      <c r="DX329" s="102"/>
      <c r="DY329" s="102">
        <v>18.100000000000001</v>
      </c>
      <c r="DZ329" s="102"/>
      <c r="EA329" s="102"/>
      <c r="EB329" s="106"/>
      <c r="EC329" s="106"/>
      <c r="ED329" s="106"/>
      <c r="EE329" s="102"/>
    </row>
    <row r="330" spans="1:135" x14ac:dyDescent="0.15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  <c r="CW330" s="102"/>
      <c r="CX330" s="102"/>
      <c r="CY330" s="102"/>
      <c r="CZ330" s="102"/>
      <c r="DA330" s="102"/>
      <c r="DB330" s="102"/>
      <c r="DC330" s="102"/>
      <c r="DD330" s="102"/>
      <c r="DE330" s="102"/>
      <c r="DF330" s="102"/>
      <c r="DG330" s="102"/>
      <c r="DH330" s="102"/>
      <c r="DI330" s="102"/>
      <c r="DJ330" s="102"/>
      <c r="DK330" s="102"/>
      <c r="DL330" s="102"/>
      <c r="DM330" s="102"/>
      <c r="DN330" s="102"/>
      <c r="DO330" s="102"/>
      <c r="DP330" s="102"/>
      <c r="DQ330" s="102"/>
      <c r="DR330" s="102"/>
      <c r="DS330" s="102"/>
      <c r="DT330" s="102"/>
      <c r="DU330" s="102"/>
      <c r="DV330" s="102"/>
      <c r="DW330" s="102"/>
      <c r="DX330" s="102"/>
      <c r="DY330" s="102">
        <v>18</v>
      </c>
      <c r="DZ330" s="102"/>
      <c r="EA330" s="102"/>
      <c r="EB330" s="106"/>
      <c r="EC330" s="106"/>
      <c r="ED330" s="106"/>
      <c r="EE330" s="102"/>
    </row>
    <row r="331" spans="1:135" x14ac:dyDescent="0.15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  <c r="CW331" s="102"/>
      <c r="CX331" s="102"/>
      <c r="CY331" s="102"/>
      <c r="CZ331" s="102"/>
      <c r="DA331" s="102"/>
      <c r="DB331" s="102"/>
      <c r="DC331" s="102"/>
      <c r="DD331" s="102"/>
      <c r="DE331" s="102"/>
      <c r="DF331" s="102"/>
      <c r="DG331" s="102"/>
      <c r="DH331" s="102"/>
      <c r="DI331" s="102"/>
      <c r="DJ331" s="102"/>
      <c r="DK331" s="102"/>
      <c r="DL331" s="102"/>
      <c r="DM331" s="102"/>
      <c r="DN331" s="102"/>
      <c r="DO331" s="102"/>
      <c r="DP331" s="102"/>
      <c r="DQ331" s="102"/>
      <c r="DR331" s="102"/>
      <c r="DS331" s="102"/>
      <c r="DT331" s="102"/>
      <c r="DU331" s="102"/>
      <c r="DV331" s="102"/>
      <c r="DW331" s="102"/>
      <c r="DX331" s="102"/>
      <c r="DY331" s="102">
        <v>17.899999999999999</v>
      </c>
      <c r="DZ331" s="102"/>
      <c r="EA331" s="102"/>
      <c r="EB331" s="106"/>
      <c r="EC331" s="106"/>
      <c r="ED331" s="106"/>
      <c r="EE331" s="102"/>
    </row>
    <row r="332" spans="1:135" x14ac:dyDescent="0.15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  <c r="CW332" s="102"/>
      <c r="CX332" s="102"/>
      <c r="CY332" s="102"/>
      <c r="CZ332" s="102"/>
      <c r="DA332" s="102"/>
      <c r="DB332" s="102"/>
      <c r="DC332" s="102"/>
      <c r="DD332" s="102"/>
      <c r="DE332" s="102"/>
      <c r="DF332" s="102"/>
      <c r="DG332" s="102"/>
      <c r="DH332" s="102"/>
      <c r="DI332" s="102"/>
      <c r="DJ332" s="102"/>
      <c r="DK332" s="102"/>
      <c r="DL332" s="102"/>
      <c r="DM332" s="102"/>
      <c r="DN332" s="102"/>
      <c r="DO332" s="102"/>
      <c r="DP332" s="102"/>
      <c r="DQ332" s="102"/>
      <c r="DR332" s="102"/>
      <c r="DS332" s="102"/>
      <c r="DT332" s="102"/>
      <c r="DU332" s="102"/>
      <c r="DV332" s="102"/>
      <c r="DW332" s="102"/>
      <c r="DX332" s="102"/>
      <c r="DY332" s="102">
        <v>17.8</v>
      </c>
      <c r="DZ332" s="102"/>
      <c r="EA332" s="102"/>
      <c r="EB332" s="106"/>
      <c r="EC332" s="106"/>
      <c r="ED332" s="106"/>
      <c r="EE332" s="102"/>
    </row>
    <row r="333" spans="1:135" x14ac:dyDescent="0.15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  <c r="CW333" s="102"/>
      <c r="CX333" s="102"/>
      <c r="CY333" s="102"/>
      <c r="CZ333" s="102"/>
      <c r="DA333" s="102"/>
      <c r="DB333" s="102"/>
      <c r="DC333" s="102"/>
      <c r="DD333" s="102"/>
      <c r="DE333" s="102"/>
      <c r="DF333" s="102"/>
      <c r="DG333" s="102"/>
      <c r="DH333" s="102"/>
      <c r="DI333" s="102"/>
      <c r="DJ333" s="102"/>
      <c r="DK333" s="102"/>
      <c r="DL333" s="102"/>
      <c r="DM333" s="102"/>
      <c r="DN333" s="102"/>
      <c r="DO333" s="102"/>
      <c r="DP333" s="102"/>
      <c r="DQ333" s="102"/>
      <c r="DR333" s="102"/>
      <c r="DS333" s="102"/>
      <c r="DT333" s="102"/>
      <c r="DU333" s="102"/>
      <c r="DV333" s="102"/>
      <c r="DW333" s="102"/>
      <c r="DX333" s="102"/>
      <c r="DY333" s="102">
        <v>17.7</v>
      </c>
      <c r="DZ333" s="102"/>
      <c r="EA333" s="102"/>
      <c r="EB333" s="106"/>
      <c r="EC333" s="106"/>
      <c r="ED333" s="106"/>
      <c r="EE333" s="102"/>
    </row>
    <row r="334" spans="1:135" x14ac:dyDescent="0.15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  <c r="CW334" s="102"/>
      <c r="CX334" s="102"/>
      <c r="CY334" s="102"/>
      <c r="CZ334" s="102"/>
      <c r="DA334" s="102"/>
      <c r="DB334" s="102"/>
      <c r="DC334" s="102"/>
      <c r="DD334" s="102"/>
      <c r="DE334" s="102"/>
      <c r="DF334" s="102"/>
      <c r="DG334" s="102"/>
      <c r="DH334" s="102"/>
      <c r="DI334" s="102"/>
      <c r="DJ334" s="102"/>
      <c r="DK334" s="102"/>
      <c r="DL334" s="102"/>
      <c r="DM334" s="102"/>
      <c r="DN334" s="102"/>
      <c r="DO334" s="102"/>
      <c r="DP334" s="102"/>
      <c r="DQ334" s="102"/>
      <c r="DR334" s="102"/>
      <c r="DS334" s="102"/>
      <c r="DT334" s="102"/>
      <c r="DU334" s="102"/>
      <c r="DV334" s="102"/>
      <c r="DW334" s="102"/>
      <c r="DX334" s="102"/>
      <c r="DY334" s="102">
        <v>17.600000000000001</v>
      </c>
      <c r="DZ334" s="102"/>
      <c r="EA334" s="102"/>
      <c r="EB334" s="106"/>
      <c r="EC334" s="106"/>
      <c r="ED334" s="106"/>
      <c r="EE334" s="102"/>
    </row>
    <row r="335" spans="1:135" x14ac:dyDescent="0.1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  <c r="CW335" s="102"/>
      <c r="CX335" s="102"/>
      <c r="CY335" s="102"/>
      <c r="CZ335" s="102"/>
      <c r="DA335" s="102"/>
      <c r="DB335" s="102"/>
      <c r="DC335" s="102"/>
      <c r="DD335" s="102"/>
      <c r="DE335" s="102"/>
      <c r="DF335" s="102"/>
      <c r="DG335" s="102"/>
      <c r="DH335" s="102"/>
      <c r="DI335" s="102"/>
      <c r="DJ335" s="102"/>
      <c r="DK335" s="102"/>
      <c r="DL335" s="102"/>
      <c r="DM335" s="102"/>
      <c r="DN335" s="102"/>
      <c r="DO335" s="102"/>
      <c r="DP335" s="102"/>
      <c r="DQ335" s="102"/>
      <c r="DR335" s="102"/>
      <c r="DS335" s="102"/>
      <c r="DT335" s="102"/>
      <c r="DU335" s="102"/>
      <c r="DV335" s="102"/>
      <c r="DW335" s="102"/>
      <c r="DX335" s="102"/>
      <c r="DY335" s="102">
        <v>17.5</v>
      </c>
      <c r="DZ335" s="102"/>
      <c r="EA335" s="102"/>
      <c r="EB335" s="106"/>
      <c r="EC335" s="106"/>
      <c r="ED335" s="106"/>
      <c r="EE335" s="102"/>
    </row>
    <row r="336" spans="1:135" x14ac:dyDescent="0.1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  <c r="CW336" s="102"/>
      <c r="CX336" s="102"/>
      <c r="CY336" s="102"/>
      <c r="CZ336" s="102"/>
      <c r="DA336" s="102"/>
      <c r="DB336" s="102"/>
      <c r="DC336" s="102"/>
      <c r="DD336" s="102"/>
      <c r="DE336" s="102"/>
      <c r="DF336" s="102"/>
      <c r="DG336" s="102"/>
      <c r="DH336" s="102"/>
      <c r="DI336" s="102"/>
      <c r="DJ336" s="102"/>
      <c r="DK336" s="102"/>
      <c r="DL336" s="102"/>
      <c r="DM336" s="102"/>
      <c r="DN336" s="102"/>
      <c r="DO336" s="102"/>
      <c r="DP336" s="102"/>
      <c r="DQ336" s="102"/>
      <c r="DR336" s="102"/>
      <c r="DS336" s="102"/>
      <c r="DT336" s="102"/>
      <c r="DU336" s="102"/>
      <c r="DV336" s="102"/>
      <c r="DW336" s="102"/>
      <c r="DX336" s="102"/>
      <c r="DY336" s="102">
        <v>17.399999999999999</v>
      </c>
      <c r="DZ336" s="102"/>
      <c r="EA336" s="102"/>
      <c r="EB336" s="106"/>
      <c r="EC336" s="106"/>
      <c r="ED336" s="106"/>
      <c r="EE336" s="102"/>
    </row>
    <row r="337" spans="1:135" x14ac:dyDescent="0.1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  <c r="CW337" s="102"/>
      <c r="CX337" s="102"/>
      <c r="CY337" s="102"/>
      <c r="CZ337" s="102"/>
      <c r="DA337" s="102"/>
      <c r="DB337" s="102"/>
      <c r="DC337" s="102"/>
      <c r="DD337" s="102"/>
      <c r="DE337" s="102"/>
      <c r="DF337" s="102"/>
      <c r="DG337" s="102"/>
      <c r="DH337" s="102"/>
      <c r="DI337" s="102"/>
      <c r="DJ337" s="102"/>
      <c r="DK337" s="102"/>
      <c r="DL337" s="102"/>
      <c r="DM337" s="102"/>
      <c r="DN337" s="102"/>
      <c r="DO337" s="102"/>
      <c r="DP337" s="102"/>
      <c r="DQ337" s="102"/>
      <c r="DR337" s="102"/>
      <c r="DS337" s="102"/>
      <c r="DT337" s="102"/>
      <c r="DU337" s="102"/>
      <c r="DV337" s="102"/>
      <c r="DW337" s="102"/>
      <c r="DX337" s="102"/>
      <c r="DY337" s="102">
        <v>17.3</v>
      </c>
      <c r="DZ337" s="102"/>
      <c r="EA337" s="102"/>
      <c r="EB337" s="106"/>
      <c r="EC337" s="106"/>
      <c r="ED337" s="106"/>
      <c r="EE337" s="102"/>
    </row>
    <row r="338" spans="1:135" x14ac:dyDescent="0.1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>
        <v>17.2</v>
      </c>
      <c r="DZ338" s="102"/>
      <c r="EA338" s="102"/>
      <c r="EB338" s="106"/>
      <c r="EC338" s="106"/>
      <c r="ED338" s="106"/>
      <c r="EE338" s="102"/>
    </row>
    <row r="339" spans="1:135" x14ac:dyDescent="0.1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  <c r="CW339" s="102"/>
      <c r="CX339" s="102"/>
      <c r="CY339" s="102"/>
      <c r="CZ339" s="102"/>
      <c r="DA339" s="102"/>
      <c r="DB339" s="102"/>
      <c r="DC339" s="102"/>
      <c r="DD339" s="102"/>
      <c r="DE339" s="102"/>
      <c r="DF339" s="102"/>
      <c r="DG339" s="102"/>
      <c r="DH339" s="102"/>
      <c r="DI339" s="102"/>
      <c r="DJ339" s="102"/>
      <c r="DK339" s="102"/>
      <c r="DL339" s="102"/>
      <c r="DM339" s="102"/>
      <c r="DN339" s="102"/>
      <c r="DO339" s="102"/>
      <c r="DP339" s="102"/>
      <c r="DQ339" s="102"/>
      <c r="DR339" s="102"/>
      <c r="DS339" s="102"/>
      <c r="DT339" s="102"/>
      <c r="DU339" s="102"/>
      <c r="DV339" s="102"/>
      <c r="DW339" s="102"/>
      <c r="DX339" s="102"/>
      <c r="DY339" s="102">
        <v>17.100000000000001</v>
      </c>
      <c r="DZ339" s="102"/>
      <c r="EA339" s="102"/>
      <c r="EB339" s="106"/>
      <c r="EC339" s="106"/>
      <c r="ED339" s="106"/>
      <c r="EE339" s="102"/>
    </row>
    <row r="340" spans="1:135" x14ac:dyDescent="0.1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  <c r="CW340" s="102"/>
      <c r="CX340" s="102"/>
      <c r="CY340" s="102"/>
      <c r="CZ340" s="102"/>
      <c r="DA340" s="102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  <c r="DO340" s="102"/>
      <c r="DP340" s="102"/>
      <c r="DQ340" s="102"/>
      <c r="DR340" s="102"/>
      <c r="DS340" s="102"/>
      <c r="DT340" s="102"/>
      <c r="DU340" s="102"/>
      <c r="DV340" s="102"/>
      <c r="DW340" s="102"/>
      <c r="DX340" s="102"/>
      <c r="DY340" s="102">
        <v>17</v>
      </c>
      <c r="DZ340" s="102"/>
      <c r="EA340" s="102"/>
      <c r="EB340" s="106"/>
      <c r="EC340" s="106"/>
      <c r="ED340" s="106"/>
      <c r="EE340" s="102"/>
    </row>
    <row r="341" spans="1:135" x14ac:dyDescent="0.1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  <c r="CW341" s="102"/>
      <c r="CX341" s="102"/>
      <c r="CY341" s="102"/>
      <c r="CZ341" s="102"/>
      <c r="DA341" s="102"/>
      <c r="DB341" s="102"/>
      <c r="DC341" s="102"/>
      <c r="DD341" s="102"/>
      <c r="DE341" s="102"/>
      <c r="DF341" s="102"/>
      <c r="DG341" s="102"/>
      <c r="DH341" s="102"/>
      <c r="DI341" s="102"/>
      <c r="DJ341" s="102"/>
      <c r="DK341" s="102"/>
      <c r="DL341" s="102"/>
      <c r="DM341" s="102"/>
      <c r="DN341" s="102"/>
      <c r="DO341" s="102"/>
      <c r="DP341" s="102"/>
      <c r="DQ341" s="102"/>
      <c r="DR341" s="102"/>
      <c r="DS341" s="102"/>
      <c r="DT341" s="102"/>
      <c r="DU341" s="102"/>
      <c r="DV341" s="102"/>
      <c r="DW341" s="102"/>
      <c r="DX341" s="102"/>
      <c r="DY341" s="102">
        <v>16.899999999999999</v>
      </c>
      <c r="DZ341" s="102"/>
      <c r="EA341" s="102"/>
      <c r="EB341" s="106"/>
      <c r="EC341" s="106"/>
      <c r="ED341" s="106"/>
      <c r="EE341" s="102"/>
    </row>
    <row r="342" spans="1:135" x14ac:dyDescent="0.1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  <c r="CW342" s="102"/>
      <c r="CX342" s="102"/>
      <c r="CY342" s="102"/>
      <c r="CZ342" s="102"/>
      <c r="DA342" s="102"/>
      <c r="DB342" s="102"/>
      <c r="DC342" s="102"/>
      <c r="DD342" s="102"/>
      <c r="DE342" s="102"/>
      <c r="DF342" s="102"/>
      <c r="DG342" s="102"/>
      <c r="DH342" s="102"/>
      <c r="DI342" s="102"/>
      <c r="DJ342" s="102"/>
      <c r="DK342" s="102"/>
      <c r="DL342" s="102"/>
      <c r="DM342" s="102"/>
      <c r="DN342" s="102"/>
      <c r="DO342" s="102"/>
      <c r="DP342" s="102"/>
      <c r="DQ342" s="102"/>
      <c r="DR342" s="102"/>
      <c r="DS342" s="102"/>
      <c r="DT342" s="102"/>
      <c r="DU342" s="102"/>
      <c r="DV342" s="102"/>
      <c r="DW342" s="102"/>
      <c r="DX342" s="102"/>
      <c r="DY342" s="102">
        <v>16.8</v>
      </c>
      <c r="DZ342" s="102"/>
      <c r="EA342" s="102"/>
      <c r="EB342" s="106"/>
      <c r="EC342" s="106"/>
      <c r="ED342" s="106"/>
      <c r="EE342" s="102"/>
    </row>
    <row r="343" spans="1:135" x14ac:dyDescent="0.1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  <c r="CW343" s="102"/>
      <c r="CX343" s="102"/>
      <c r="CY343" s="102"/>
      <c r="CZ343" s="102"/>
      <c r="DA343" s="102"/>
      <c r="DB343" s="102"/>
      <c r="DC343" s="102"/>
      <c r="DD343" s="102"/>
      <c r="DE343" s="102"/>
      <c r="DF343" s="102"/>
      <c r="DG343" s="102"/>
      <c r="DH343" s="102"/>
      <c r="DI343" s="102"/>
      <c r="DJ343" s="102"/>
      <c r="DK343" s="102"/>
      <c r="DL343" s="102"/>
      <c r="DM343" s="102"/>
      <c r="DN343" s="102"/>
      <c r="DO343" s="102"/>
      <c r="DP343" s="102"/>
      <c r="DQ343" s="102"/>
      <c r="DR343" s="102"/>
      <c r="DS343" s="102"/>
      <c r="DT343" s="102"/>
      <c r="DU343" s="102"/>
      <c r="DV343" s="102"/>
      <c r="DW343" s="102"/>
      <c r="DX343" s="102"/>
      <c r="DY343" s="102">
        <v>16.7</v>
      </c>
      <c r="DZ343" s="102"/>
      <c r="EA343" s="102"/>
      <c r="EB343" s="106"/>
      <c r="EC343" s="106"/>
      <c r="ED343" s="106"/>
      <c r="EE343" s="102"/>
    </row>
    <row r="344" spans="1:135" x14ac:dyDescent="0.1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  <c r="CW344" s="102"/>
      <c r="CX344" s="102"/>
      <c r="CY344" s="102"/>
      <c r="CZ344" s="102"/>
      <c r="DA344" s="102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>
        <v>16.600000000000001</v>
      </c>
      <c r="DZ344" s="102"/>
      <c r="EA344" s="102"/>
      <c r="EB344" s="106"/>
      <c r="EC344" s="106"/>
      <c r="ED344" s="106"/>
      <c r="EE344" s="102"/>
    </row>
    <row r="345" spans="1:135" x14ac:dyDescent="0.1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  <c r="CW345" s="102"/>
      <c r="CX345" s="102"/>
      <c r="CY345" s="102"/>
      <c r="CZ345" s="102"/>
      <c r="DA345" s="102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>
        <v>16.5</v>
      </c>
      <c r="DZ345" s="102"/>
      <c r="EA345" s="102"/>
      <c r="EB345" s="106"/>
      <c r="EC345" s="106"/>
      <c r="ED345" s="106"/>
      <c r="EE345" s="102"/>
    </row>
    <row r="346" spans="1:135" x14ac:dyDescent="0.1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  <c r="CW346" s="102"/>
      <c r="CX346" s="102"/>
      <c r="CY346" s="102"/>
      <c r="CZ346" s="102"/>
      <c r="DA346" s="102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>
        <v>16.399999999999999</v>
      </c>
      <c r="DZ346" s="102"/>
      <c r="EA346" s="102"/>
      <c r="EB346" s="106"/>
      <c r="EC346" s="106"/>
      <c r="ED346" s="106"/>
      <c r="EE346" s="102"/>
    </row>
    <row r="347" spans="1:135" x14ac:dyDescent="0.1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>
        <v>16.3</v>
      </c>
      <c r="DZ347" s="102"/>
      <c r="EA347" s="102"/>
      <c r="EB347" s="106"/>
      <c r="EC347" s="106"/>
      <c r="ED347" s="106"/>
      <c r="EE347" s="102"/>
    </row>
    <row r="348" spans="1:135" x14ac:dyDescent="0.1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  <c r="CW348" s="102"/>
      <c r="CX348" s="102"/>
      <c r="CY348" s="102"/>
      <c r="CZ348" s="102"/>
      <c r="DA348" s="102"/>
      <c r="DB348" s="102"/>
      <c r="DC348" s="102"/>
      <c r="DD348" s="102"/>
      <c r="DE348" s="102"/>
      <c r="DF348" s="102"/>
      <c r="DG348" s="102"/>
      <c r="DH348" s="102"/>
      <c r="DI348" s="102"/>
      <c r="DJ348" s="102"/>
      <c r="DK348" s="102"/>
      <c r="DL348" s="102"/>
      <c r="DM348" s="102"/>
      <c r="DN348" s="102"/>
      <c r="DO348" s="102"/>
      <c r="DP348" s="102"/>
      <c r="DQ348" s="102"/>
      <c r="DR348" s="102"/>
      <c r="DS348" s="102"/>
      <c r="DT348" s="102"/>
      <c r="DU348" s="102"/>
      <c r="DV348" s="102"/>
      <c r="DW348" s="102"/>
      <c r="DX348" s="102"/>
      <c r="DY348" s="102">
        <v>16.2</v>
      </c>
      <c r="DZ348" s="102"/>
      <c r="EA348" s="102"/>
      <c r="EB348" s="106"/>
      <c r="EC348" s="106"/>
      <c r="ED348" s="106"/>
      <c r="EE348" s="102"/>
    </row>
    <row r="349" spans="1:135" x14ac:dyDescent="0.1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  <c r="CW349" s="102"/>
      <c r="CX349" s="102"/>
      <c r="CY349" s="102"/>
      <c r="CZ349" s="102"/>
      <c r="DA349" s="102"/>
      <c r="DB349" s="102"/>
      <c r="DC349" s="102"/>
      <c r="DD349" s="102"/>
      <c r="DE349" s="102"/>
      <c r="DF349" s="102"/>
      <c r="DG349" s="102"/>
      <c r="DH349" s="102"/>
      <c r="DI349" s="102"/>
      <c r="DJ349" s="102"/>
      <c r="DK349" s="102"/>
      <c r="DL349" s="102"/>
      <c r="DM349" s="102"/>
      <c r="DN349" s="102"/>
      <c r="DO349" s="102"/>
      <c r="DP349" s="102"/>
      <c r="DQ349" s="102"/>
      <c r="DR349" s="102"/>
      <c r="DS349" s="102"/>
      <c r="DT349" s="102"/>
      <c r="DU349" s="102"/>
      <c r="DV349" s="102"/>
      <c r="DW349" s="102"/>
      <c r="DX349" s="102"/>
      <c r="DY349" s="102">
        <v>16.100000000000001</v>
      </c>
      <c r="DZ349" s="102"/>
      <c r="EA349" s="102"/>
      <c r="EB349" s="106"/>
      <c r="EC349" s="106"/>
      <c r="ED349" s="106"/>
      <c r="EE349" s="102"/>
    </row>
    <row r="350" spans="1:135" x14ac:dyDescent="0.1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  <c r="CW350" s="102"/>
      <c r="CX350" s="102"/>
      <c r="CY350" s="102"/>
      <c r="CZ350" s="102"/>
      <c r="DA350" s="102"/>
      <c r="DB350" s="102"/>
      <c r="DC350" s="102"/>
      <c r="DD350" s="102"/>
      <c r="DE350" s="102"/>
      <c r="DF350" s="102"/>
      <c r="DG350" s="102"/>
      <c r="DH350" s="102"/>
      <c r="DI350" s="102"/>
      <c r="DJ350" s="102"/>
      <c r="DK350" s="102"/>
      <c r="DL350" s="102"/>
      <c r="DM350" s="102"/>
      <c r="DN350" s="102"/>
      <c r="DO350" s="102"/>
      <c r="DP350" s="102"/>
      <c r="DQ350" s="102"/>
      <c r="DR350" s="102"/>
      <c r="DS350" s="102"/>
      <c r="DT350" s="102"/>
      <c r="DU350" s="102"/>
      <c r="DV350" s="102"/>
      <c r="DW350" s="102"/>
      <c r="DX350" s="102"/>
      <c r="DY350" s="102">
        <v>16</v>
      </c>
      <c r="DZ350" s="102"/>
      <c r="EA350" s="102"/>
      <c r="EB350" s="106"/>
      <c r="EC350" s="106"/>
      <c r="ED350" s="106"/>
      <c r="EE350" s="102"/>
    </row>
    <row r="351" spans="1:135" x14ac:dyDescent="0.1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  <c r="CW351" s="102"/>
      <c r="CX351" s="102"/>
      <c r="CY351" s="102"/>
      <c r="CZ351" s="102"/>
      <c r="DA351" s="102"/>
      <c r="DB351" s="102"/>
      <c r="DC351" s="102"/>
      <c r="DD351" s="102"/>
      <c r="DE351" s="102"/>
      <c r="DF351" s="102"/>
      <c r="DG351" s="102"/>
      <c r="DH351" s="102"/>
      <c r="DI351" s="102"/>
      <c r="DJ351" s="102"/>
      <c r="DK351" s="102"/>
      <c r="DL351" s="102"/>
      <c r="DM351" s="102"/>
      <c r="DN351" s="102"/>
      <c r="DO351" s="102"/>
      <c r="DP351" s="102"/>
      <c r="DQ351" s="102"/>
      <c r="DR351" s="102"/>
      <c r="DS351" s="102"/>
      <c r="DT351" s="102"/>
      <c r="DU351" s="102"/>
      <c r="DV351" s="102"/>
      <c r="DW351" s="102"/>
      <c r="DX351" s="102"/>
      <c r="DY351" s="102">
        <v>15.9</v>
      </c>
      <c r="DZ351" s="102"/>
      <c r="EA351" s="102"/>
      <c r="EB351" s="106"/>
      <c r="EC351" s="106"/>
      <c r="ED351" s="106"/>
      <c r="EE351" s="102"/>
    </row>
    <row r="352" spans="1:135" x14ac:dyDescent="0.1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  <c r="CW352" s="102"/>
      <c r="CX352" s="102"/>
      <c r="CY352" s="102"/>
      <c r="CZ352" s="102"/>
      <c r="DA352" s="102"/>
      <c r="DB352" s="102"/>
      <c r="DC352" s="102"/>
      <c r="DD352" s="102"/>
      <c r="DE352" s="102"/>
      <c r="DF352" s="102"/>
      <c r="DG352" s="102"/>
      <c r="DH352" s="102"/>
      <c r="DI352" s="102"/>
      <c r="DJ352" s="102"/>
      <c r="DK352" s="102"/>
      <c r="DL352" s="102"/>
      <c r="DM352" s="102"/>
      <c r="DN352" s="102"/>
      <c r="DO352" s="102"/>
      <c r="DP352" s="102"/>
      <c r="DQ352" s="102"/>
      <c r="DR352" s="102"/>
      <c r="DS352" s="102"/>
      <c r="DT352" s="102"/>
      <c r="DU352" s="102"/>
      <c r="DV352" s="102"/>
      <c r="DW352" s="102"/>
      <c r="DX352" s="102"/>
      <c r="DY352" s="102">
        <v>15.8</v>
      </c>
      <c r="DZ352" s="102"/>
      <c r="EA352" s="102"/>
      <c r="EB352" s="106"/>
      <c r="EC352" s="106"/>
      <c r="ED352" s="106"/>
      <c r="EE352" s="102"/>
    </row>
    <row r="353" spans="1:135" x14ac:dyDescent="0.1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  <c r="CW353" s="102"/>
      <c r="CX353" s="102"/>
      <c r="CY353" s="102"/>
      <c r="CZ353" s="102"/>
      <c r="DA353" s="102"/>
      <c r="DB353" s="102"/>
      <c r="DC353" s="102"/>
      <c r="DD353" s="102"/>
      <c r="DE353" s="102"/>
      <c r="DF353" s="102"/>
      <c r="DG353" s="102"/>
      <c r="DH353" s="102"/>
      <c r="DI353" s="102"/>
      <c r="DJ353" s="102"/>
      <c r="DK353" s="102"/>
      <c r="DL353" s="102"/>
      <c r="DM353" s="102"/>
      <c r="DN353" s="102"/>
      <c r="DO353" s="102"/>
      <c r="DP353" s="102"/>
      <c r="DQ353" s="102"/>
      <c r="DR353" s="102"/>
      <c r="DS353" s="102"/>
      <c r="DT353" s="102"/>
      <c r="DU353" s="102"/>
      <c r="DV353" s="102"/>
      <c r="DW353" s="102"/>
      <c r="DX353" s="102"/>
      <c r="DY353" s="102">
        <v>15.7</v>
      </c>
      <c r="DZ353" s="102"/>
      <c r="EA353" s="102"/>
      <c r="EB353" s="106"/>
      <c r="EC353" s="106"/>
      <c r="ED353" s="106"/>
      <c r="EE353" s="102"/>
    </row>
    <row r="354" spans="1:135" x14ac:dyDescent="0.1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  <c r="CW354" s="102"/>
      <c r="CX354" s="102"/>
      <c r="CY354" s="102"/>
      <c r="CZ354" s="102"/>
      <c r="DA354" s="102"/>
      <c r="DB354" s="102"/>
      <c r="DC354" s="102"/>
      <c r="DD354" s="102"/>
      <c r="DE354" s="102"/>
      <c r="DF354" s="102"/>
      <c r="DG354" s="102"/>
      <c r="DH354" s="102"/>
      <c r="DI354" s="102"/>
      <c r="DJ354" s="102"/>
      <c r="DK354" s="102"/>
      <c r="DL354" s="102"/>
      <c r="DM354" s="102"/>
      <c r="DN354" s="102"/>
      <c r="DO354" s="102"/>
      <c r="DP354" s="102"/>
      <c r="DQ354" s="102"/>
      <c r="DR354" s="102"/>
      <c r="DS354" s="102"/>
      <c r="DT354" s="102"/>
      <c r="DU354" s="102"/>
      <c r="DV354" s="102"/>
      <c r="DW354" s="102"/>
      <c r="DX354" s="102"/>
      <c r="DY354" s="102">
        <v>15.6</v>
      </c>
      <c r="DZ354" s="102"/>
      <c r="EA354" s="102"/>
      <c r="EB354" s="106"/>
      <c r="EC354" s="106"/>
      <c r="ED354" s="106"/>
      <c r="EE354" s="102"/>
    </row>
    <row r="355" spans="1:135" x14ac:dyDescent="0.1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  <c r="CW355" s="102"/>
      <c r="CX355" s="102"/>
      <c r="CY355" s="102"/>
      <c r="CZ355" s="102"/>
      <c r="DA355" s="102"/>
      <c r="DB355" s="102"/>
      <c r="DC355" s="102"/>
      <c r="DD355" s="102"/>
      <c r="DE355" s="102"/>
      <c r="DF355" s="102"/>
      <c r="DG355" s="102"/>
      <c r="DH355" s="102"/>
      <c r="DI355" s="102"/>
      <c r="DJ355" s="102"/>
      <c r="DK355" s="102"/>
      <c r="DL355" s="102"/>
      <c r="DM355" s="102"/>
      <c r="DN355" s="102"/>
      <c r="DO355" s="102"/>
      <c r="DP355" s="102"/>
      <c r="DQ355" s="102"/>
      <c r="DR355" s="102"/>
      <c r="DS355" s="102"/>
      <c r="DT355" s="102"/>
      <c r="DU355" s="102"/>
      <c r="DV355" s="102"/>
      <c r="DW355" s="102"/>
      <c r="DX355" s="102"/>
      <c r="DY355" s="102">
        <v>15.5</v>
      </c>
      <c r="DZ355" s="102"/>
      <c r="EA355" s="102"/>
      <c r="EB355" s="106"/>
      <c r="EC355" s="106"/>
      <c r="ED355" s="106"/>
      <c r="EE355" s="102"/>
    </row>
    <row r="356" spans="1:135" x14ac:dyDescent="0.1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  <c r="CW356" s="102"/>
      <c r="CX356" s="102"/>
      <c r="CY356" s="102"/>
      <c r="CZ356" s="102"/>
      <c r="DA356" s="102"/>
      <c r="DB356" s="102"/>
      <c r="DC356" s="102"/>
      <c r="DD356" s="102"/>
      <c r="DE356" s="102"/>
      <c r="DF356" s="102"/>
      <c r="DG356" s="102"/>
      <c r="DH356" s="102"/>
      <c r="DI356" s="102"/>
      <c r="DJ356" s="102"/>
      <c r="DK356" s="102"/>
      <c r="DL356" s="102"/>
      <c r="DM356" s="102"/>
      <c r="DN356" s="102"/>
      <c r="DO356" s="102"/>
      <c r="DP356" s="102"/>
      <c r="DQ356" s="102"/>
      <c r="DR356" s="102"/>
      <c r="DS356" s="102"/>
      <c r="DT356" s="102"/>
      <c r="DU356" s="102"/>
      <c r="DV356" s="102"/>
      <c r="DW356" s="102"/>
      <c r="DX356" s="102"/>
      <c r="DY356" s="102">
        <v>15.4</v>
      </c>
      <c r="DZ356" s="102"/>
      <c r="EA356" s="102"/>
      <c r="EB356" s="106"/>
      <c r="EC356" s="106"/>
      <c r="ED356" s="106"/>
      <c r="EE356" s="102"/>
    </row>
    <row r="357" spans="1:135" x14ac:dyDescent="0.1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  <c r="CW357" s="102"/>
      <c r="CX357" s="102"/>
      <c r="CY357" s="102"/>
      <c r="CZ357" s="102"/>
      <c r="DA357" s="102"/>
      <c r="DB357" s="102"/>
      <c r="DC357" s="102"/>
      <c r="DD357" s="102"/>
      <c r="DE357" s="102"/>
      <c r="DF357" s="102"/>
      <c r="DG357" s="102"/>
      <c r="DH357" s="102"/>
      <c r="DI357" s="102"/>
      <c r="DJ357" s="102"/>
      <c r="DK357" s="102"/>
      <c r="DL357" s="102"/>
      <c r="DM357" s="102"/>
      <c r="DN357" s="102"/>
      <c r="DO357" s="102"/>
      <c r="DP357" s="102"/>
      <c r="DQ357" s="102"/>
      <c r="DR357" s="102"/>
      <c r="DS357" s="102"/>
      <c r="DT357" s="102"/>
      <c r="DU357" s="102"/>
      <c r="DV357" s="102"/>
      <c r="DW357" s="102"/>
      <c r="DX357" s="102"/>
      <c r="DY357" s="102">
        <v>15.3</v>
      </c>
      <c r="DZ357" s="102"/>
      <c r="EA357" s="102"/>
      <c r="EB357" s="106"/>
      <c r="EC357" s="106"/>
      <c r="ED357" s="106"/>
      <c r="EE357" s="102"/>
    </row>
    <row r="358" spans="1:135" x14ac:dyDescent="0.1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  <c r="CW358" s="102"/>
      <c r="CX358" s="102"/>
      <c r="CY358" s="102"/>
      <c r="CZ358" s="102"/>
      <c r="DA358" s="102"/>
      <c r="DB358" s="102"/>
      <c r="DC358" s="102"/>
      <c r="DD358" s="102"/>
      <c r="DE358" s="102"/>
      <c r="DF358" s="102"/>
      <c r="DG358" s="102"/>
      <c r="DH358" s="102"/>
      <c r="DI358" s="102"/>
      <c r="DJ358" s="102"/>
      <c r="DK358" s="102"/>
      <c r="DL358" s="102"/>
      <c r="DM358" s="102"/>
      <c r="DN358" s="102"/>
      <c r="DO358" s="102"/>
      <c r="DP358" s="102"/>
      <c r="DQ358" s="102"/>
      <c r="DR358" s="102"/>
      <c r="DS358" s="102"/>
      <c r="DT358" s="102"/>
      <c r="DU358" s="102"/>
      <c r="DV358" s="102"/>
      <c r="DW358" s="102"/>
      <c r="DX358" s="102"/>
      <c r="DY358" s="102">
        <v>15.2</v>
      </c>
      <c r="DZ358" s="102"/>
      <c r="EA358" s="102"/>
      <c r="EB358" s="106"/>
      <c r="EC358" s="106"/>
      <c r="ED358" s="106"/>
      <c r="EE358" s="102"/>
    </row>
    <row r="359" spans="1:135" x14ac:dyDescent="0.1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  <c r="CW359" s="102"/>
      <c r="CX359" s="102"/>
      <c r="CY359" s="102"/>
      <c r="CZ359" s="102"/>
      <c r="DA359" s="102"/>
      <c r="DB359" s="102"/>
      <c r="DC359" s="102"/>
      <c r="DD359" s="102"/>
      <c r="DE359" s="102"/>
      <c r="DF359" s="102"/>
      <c r="DG359" s="102"/>
      <c r="DH359" s="102"/>
      <c r="DI359" s="102"/>
      <c r="DJ359" s="102"/>
      <c r="DK359" s="102"/>
      <c r="DL359" s="102"/>
      <c r="DM359" s="102"/>
      <c r="DN359" s="102"/>
      <c r="DO359" s="102"/>
      <c r="DP359" s="102"/>
      <c r="DQ359" s="102"/>
      <c r="DR359" s="102"/>
      <c r="DS359" s="102"/>
      <c r="DT359" s="102"/>
      <c r="DU359" s="102"/>
      <c r="DV359" s="102"/>
      <c r="DW359" s="102"/>
      <c r="DX359" s="102"/>
      <c r="DY359" s="102">
        <v>15.1</v>
      </c>
      <c r="DZ359" s="102"/>
      <c r="EA359" s="102"/>
      <c r="EB359" s="106"/>
      <c r="EC359" s="106"/>
      <c r="ED359" s="106"/>
      <c r="EE359" s="102"/>
    </row>
    <row r="360" spans="1:135" x14ac:dyDescent="0.1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  <c r="CW360" s="102"/>
      <c r="CX360" s="102"/>
      <c r="CY360" s="102"/>
      <c r="CZ360" s="102"/>
      <c r="DA360" s="102"/>
      <c r="DB360" s="102"/>
      <c r="DC360" s="102"/>
      <c r="DD360" s="102"/>
      <c r="DE360" s="102"/>
      <c r="DF360" s="102"/>
      <c r="DG360" s="102"/>
      <c r="DH360" s="102"/>
      <c r="DI360" s="102"/>
      <c r="DJ360" s="102"/>
      <c r="DK360" s="102"/>
      <c r="DL360" s="102"/>
      <c r="DM360" s="102"/>
      <c r="DN360" s="102"/>
      <c r="DO360" s="102"/>
      <c r="DP360" s="102"/>
      <c r="DQ360" s="102"/>
      <c r="DR360" s="102"/>
      <c r="DS360" s="102"/>
      <c r="DT360" s="102"/>
      <c r="DU360" s="102"/>
      <c r="DV360" s="102"/>
      <c r="DW360" s="102"/>
      <c r="DX360" s="102"/>
      <c r="DY360" s="102">
        <v>15</v>
      </c>
      <c r="DZ360" s="102"/>
      <c r="EA360" s="102"/>
      <c r="EB360" s="106"/>
      <c r="EC360" s="106"/>
      <c r="ED360" s="106"/>
      <c r="EE360" s="102"/>
    </row>
    <row r="361" spans="1:135" x14ac:dyDescent="0.15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  <c r="CW361" s="102"/>
      <c r="CX361" s="102"/>
      <c r="CY361" s="102"/>
      <c r="CZ361" s="102"/>
      <c r="DA361" s="102"/>
      <c r="DB361" s="102"/>
      <c r="DC361" s="102"/>
      <c r="DD361" s="102"/>
      <c r="DE361" s="102"/>
      <c r="DF361" s="102"/>
      <c r="DG361" s="102"/>
      <c r="DH361" s="102"/>
      <c r="DI361" s="102"/>
      <c r="DJ361" s="102"/>
      <c r="DK361" s="102"/>
      <c r="DL361" s="102"/>
      <c r="DM361" s="102"/>
      <c r="DN361" s="102"/>
      <c r="DO361" s="102"/>
      <c r="DP361" s="102"/>
      <c r="DQ361" s="102"/>
      <c r="DR361" s="102"/>
      <c r="DS361" s="102"/>
      <c r="DT361" s="102"/>
      <c r="DU361" s="102"/>
      <c r="DV361" s="102"/>
      <c r="DW361" s="102"/>
      <c r="DX361" s="102"/>
      <c r="DY361" s="102"/>
      <c r="DZ361" s="102"/>
      <c r="EA361" s="102"/>
      <c r="EB361" s="106"/>
      <c r="EC361" s="106"/>
      <c r="ED361" s="106"/>
      <c r="EE361" s="102"/>
    </row>
    <row r="362" spans="1:135" x14ac:dyDescent="0.15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  <c r="CW362" s="102"/>
      <c r="CX362" s="102"/>
      <c r="CY362" s="102"/>
      <c r="CZ362" s="102"/>
      <c r="DA362" s="102"/>
      <c r="DB362" s="102"/>
      <c r="DC362" s="102"/>
      <c r="DD362" s="102"/>
      <c r="DE362" s="102"/>
      <c r="DF362" s="102"/>
      <c r="DG362" s="102"/>
      <c r="DH362" s="102"/>
      <c r="DI362" s="102"/>
      <c r="DJ362" s="102"/>
      <c r="DK362" s="102"/>
      <c r="DL362" s="102"/>
      <c r="DM362" s="102"/>
      <c r="DN362" s="102"/>
      <c r="DO362" s="102"/>
      <c r="DP362" s="102"/>
      <c r="DQ362" s="102"/>
      <c r="DR362" s="102"/>
      <c r="DS362" s="102"/>
      <c r="DT362" s="102"/>
      <c r="DU362" s="102"/>
      <c r="DV362" s="102"/>
      <c r="DW362" s="102"/>
      <c r="DX362" s="102"/>
      <c r="DY362" s="102"/>
      <c r="DZ362" s="102"/>
      <c r="EA362" s="102"/>
      <c r="EB362" s="106"/>
      <c r="EC362" s="106"/>
      <c r="ED362" s="106"/>
      <c r="EE362" s="102"/>
    </row>
    <row r="363" spans="1:135" x14ac:dyDescent="0.15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  <c r="CW363" s="102"/>
      <c r="CX363" s="102"/>
      <c r="CY363" s="102"/>
      <c r="CZ363" s="102"/>
      <c r="DA363" s="102"/>
      <c r="DB363" s="102"/>
      <c r="DC363" s="102"/>
      <c r="DD363" s="102"/>
      <c r="DE363" s="102"/>
      <c r="DF363" s="102"/>
      <c r="DG363" s="102"/>
      <c r="DH363" s="102"/>
      <c r="DI363" s="102"/>
      <c r="DJ363" s="102"/>
      <c r="DK363" s="102"/>
      <c r="DL363" s="102"/>
      <c r="DM363" s="102"/>
      <c r="DN363" s="102"/>
      <c r="DO363" s="102"/>
      <c r="DP363" s="102"/>
      <c r="DQ363" s="102"/>
      <c r="DR363" s="102"/>
      <c r="DS363" s="102"/>
      <c r="DT363" s="102"/>
      <c r="DU363" s="102"/>
      <c r="DV363" s="102"/>
      <c r="DW363" s="102"/>
      <c r="DX363" s="102"/>
      <c r="DY363" s="102"/>
      <c r="DZ363" s="102"/>
      <c r="EA363" s="102"/>
      <c r="EB363" s="106"/>
      <c r="EC363" s="106"/>
      <c r="ED363" s="106"/>
      <c r="EE363" s="102"/>
    </row>
    <row r="364" spans="1:135" x14ac:dyDescent="0.15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  <c r="CW364" s="102"/>
      <c r="CX364" s="102"/>
      <c r="CY364" s="102"/>
      <c r="CZ364" s="102"/>
      <c r="DA364" s="102"/>
      <c r="DB364" s="102"/>
      <c r="DC364" s="102"/>
      <c r="DD364" s="102"/>
      <c r="DE364" s="102"/>
      <c r="DF364" s="102"/>
      <c r="DG364" s="102"/>
      <c r="DH364" s="102"/>
      <c r="DI364" s="102"/>
      <c r="DJ364" s="102"/>
      <c r="DK364" s="102"/>
      <c r="DL364" s="102"/>
      <c r="DM364" s="102"/>
      <c r="DN364" s="102"/>
      <c r="DO364" s="102"/>
      <c r="DP364" s="102"/>
      <c r="DQ364" s="102"/>
      <c r="DR364" s="102"/>
      <c r="DS364" s="102"/>
      <c r="DT364" s="102"/>
      <c r="DU364" s="102"/>
      <c r="DV364" s="102"/>
      <c r="DW364" s="102"/>
      <c r="DX364" s="102"/>
      <c r="DY364" s="102"/>
      <c r="DZ364" s="102"/>
      <c r="EA364" s="102"/>
      <c r="EB364" s="102"/>
      <c r="EC364" s="102"/>
      <c r="ED364" s="102"/>
      <c r="EE364" s="102"/>
    </row>
    <row r="365" spans="1:135" x14ac:dyDescent="0.15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  <c r="CW365" s="102"/>
      <c r="CX365" s="102"/>
      <c r="CY365" s="102"/>
      <c r="CZ365" s="102"/>
      <c r="DA365" s="102"/>
      <c r="DB365" s="102"/>
      <c r="DC365" s="102"/>
      <c r="DD365" s="102"/>
      <c r="DE365" s="102"/>
      <c r="DF365" s="102"/>
      <c r="DG365" s="102"/>
      <c r="DH365" s="102"/>
      <c r="DI365" s="102"/>
      <c r="DJ365" s="102"/>
      <c r="DK365" s="102"/>
      <c r="DL365" s="102"/>
      <c r="DM365" s="102"/>
      <c r="DN365" s="102"/>
      <c r="DO365" s="102"/>
      <c r="DP365" s="102"/>
      <c r="DQ365" s="102"/>
      <c r="DR365" s="102"/>
      <c r="DS365" s="102"/>
      <c r="DT365" s="102"/>
      <c r="DU365" s="102"/>
      <c r="DV365" s="102"/>
      <c r="DW365" s="102"/>
      <c r="DX365" s="102"/>
      <c r="DY365" s="102"/>
      <c r="DZ365" s="102"/>
      <c r="EA365" s="102"/>
      <c r="EB365" s="102"/>
      <c r="EC365" s="102"/>
      <c r="ED365" s="102"/>
      <c r="EE365" s="102"/>
    </row>
    <row r="366" spans="1:135" x14ac:dyDescent="0.15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  <c r="CW366" s="102"/>
      <c r="CX366" s="102"/>
      <c r="CY366" s="102"/>
      <c r="CZ366" s="102"/>
      <c r="DA366" s="102"/>
      <c r="DB366" s="102"/>
      <c r="DC366" s="102"/>
      <c r="DD366" s="102"/>
      <c r="DE366" s="102"/>
      <c r="DF366" s="102"/>
      <c r="DG366" s="102"/>
      <c r="DH366" s="102"/>
      <c r="DI366" s="102"/>
      <c r="DJ366" s="102"/>
      <c r="DK366" s="102"/>
      <c r="DL366" s="102"/>
      <c r="DM366" s="102"/>
      <c r="DN366" s="102"/>
      <c r="DO366" s="102"/>
      <c r="DP366" s="102"/>
      <c r="DQ366" s="102"/>
      <c r="DR366" s="102"/>
      <c r="DS366" s="102"/>
      <c r="DT366" s="102"/>
      <c r="DU366" s="102"/>
      <c r="DV366" s="102"/>
      <c r="DW366" s="102"/>
      <c r="DX366" s="102"/>
      <c r="DY366" s="102"/>
      <c r="DZ366" s="102"/>
      <c r="EA366" s="102"/>
      <c r="EB366" s="102"/>
      <c r="EC366" s="102"/>
      <c r="ED366" s="102"/>
      <c r="EE366" s="102"/>
    </row>
    <row r="367" spans="1:135" x14ac:dyDescent="0.15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  <c r="CW367" s="102"/>
      <c r="CX367" s="102"/>
      <c r="CY367" s="102"/>
      <c r="CZ367" s="102"/>
      <c r="DA367" s="102"/>
      <c r="DB367" s="102"/>
      <c r="DC367" s="102"/>
      <c r="DD367" s="102"/>
      <c r="DE367" s="102"/>
      <c r="DF367" s="102"/>
      <c r="DG367" s="102"/>
      <c r="DH367" s="102"/>
      <c r="DI367" s="102"/>
      <c r="DJ367" s="102"/>
      <c r="DK367" s="102"/>
      <c r="DL367" s="102"/>
      <c r="DM367" s="102"/>
      <c r="DN367" s="102"/>
      <c r="DO367" s="102"/>
      <c r="DP367" s="102"/>
      <c r="DQ367" s="102"/>
      <c r="DR367" s="102"/>
      <c r="DS367" s="102"/>
      <c r="DT367" s="102"/>
      <c r="DU367" s="102"/>
      <c r="DV367" s="102"/>
      <c r="DW367" s="102"/>
      <c r="DX367" s="102"/>
      <c r="DY367" s="102"/>
      <c r="DZ367" s="102"/>
      <c r="EA367" s="102"/>
      <c r="EB367" s="102"/>
      <c r="EC367" s="102"/>
      <c r="ED367" s="102"/>
      <c r="EE367" s="102"/>
    </row>
    <row r="368" spans="1:135" x14ac:dyDescent="0.15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  <c r="CW368" s="102"/>
      <c r="CX368" s="102"/>
      <c r="CY368" s="102"/>
      <c r="CZ368" s="102"/>
      <c r="DA368" s="102"/>
      <c r="DB368" s="102"/>
      <c r="DC368" s="102"/>
      <c r="DD368" s="102"/>
      <c r="DE368" s="102"/>
      <c r="DF368" s="102"/>
      <c r="DG368" s="102"/>
      <c r="DH368" s="102"/>
      <c r="DI368" s="102"/>
      <c r="DJ368" s="102"/>
      <c r="DK368" s="102"/>
      <c r="DL368" s="102"/>
      <c r="DM368" s="102"/>
      <c r="DN368" s="102"/>
      <c r="DO368" s="102"/>
      <c r="DP368" s="102"/>
      <c r="DQ368" s="102"/>
      <c r="DR368" s="102"/>
      <c r="DS368" s="102"/>
      <c r="DT368" s="102"/>
      <c r="DU368" s="102"/>
      <c r="DV368" s="102"/>
      <c r="DW368" s="102"/>
      <c r="DX368" s="102"/>
      <c r="DY368" s="102"/>
      <c r="DZ368" s="102"/>
      <c r="EA368" s="102"/>
      <c r="EB368" s="102"/>
      <c r="EC368" s="102"/>
      <c r="ED368" s="102"/>
      <c r="EE368" s="102"/>
    </row>
    <row r="369" spans="1:135" x14ac:dyDescent="0.15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  <c r="CW369" s="102"/>
      <c r="CX369" s="102"/>
      <c r="CY369" s="102"/>
      <c r="CZ369" s="102"/>
      <c r="DA369" s="102"/>
      <c r="DB369" s="102"/>
      <c r="DC369" s="102"/>
      <c r="DD369" s="102"/>
      <c r="DE369" s="102"/>
      <c r="DF369" s="102"/>
      <c r="DG369" s="102"/>
      <c r="DH369" s="102"/>
      <c r="DI369" s="102"/>
      <c r="DJ369" s="102"/>
      <c r="DK369" s="102"/>
      <c r="DL369" s="102"/>
      <c r="DM369" s="102"/>
      <c r="DN369" s="102"/>
      <c r="DO369" s="102"/>
      <c r="DP369" s="102"/>
      <c r="DQ369" s="102"/>
      <c r="DR369" s="102"/>
      <c r="DS369" s="102"/>
      <c r="DT369" s="102"/>
      <c r="DU369" s="102"/>
      <c r="DV369" s="102"/>
      <c r="DW369" s="102"/>
      <c r="DX369" s="102"/>
      <c r="DY369" s="102"/>
      <c r="DZ369" s="102"/>
      <c r="EA369" s="102"/>
      <c r="EB369" s="102"/>
      <c r="EC369" s="102"/>
      <c r="ED369" s="102"/>
      <c r="EE369" s="102"/>
    </row>
    <row r="370" spans="1:135" x14ac:dyDescent="0.15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  <c r="CW370" s="102"/>
      <c r="CX370" s="102"/>
      <c r="CY370" s="102"/>
      <c r="CZ370" s="102"/>
      <c r="DA370" s="102"/>
      <c r="DB370" s="102"/>
      <c r="DC370" s="102"/>
      <c r="DD370" s="102"/>
      <c r="DE370" s="102"/>
      <c r="DF370" s="102"/>
      <c r="DG370" s="102"/>
      <c r="DH370" s="102"/>
      <c r="DI370" s="102"/>
      <c r="DJ370" s="102"/>
      <c r="DK370" s="102"/>
      <c r="DL370" s="102"/>
      <c r="DM370" s="102"/>
      <c r="DN370" s="102"/>
      <c r="DO370" s="102"/>
      <c r="DP370" s="102"/>
      <c r="DQ370" s="102"/>
      <c r="DR370" s="102"/>
      <c r="DS370" s="102"/>
      <c r="DT370" s="102"/>
      <c r="DU370" s="102"/>
      <c r="DV370" s="102"/>
      <c r="DW370" s="102"/>
      <c r="DX370" s="102"/>
      <c r="DY370" s="102"/>
      <c r="DZ370" s="102"/>
      <c r="EA370" s="102"/>
      <c r="EB370" s="102"/>
      <c r="EC370" s="102"/>
      <c r="ED370" s="102"/>
      <c r="EE370" s="102"/>
    </row>
    <row r="371" spans="1:135" x14ac:dyDescent="0.15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  <c r="CW371" s="102"/>
      <c r="CX371" s="102"/>
      <c r="CY371" s="102"/>
      <c r="CZ371" s="102"/>
      <c r="DA371" s="102"/>
      <c r="DB371" s="102"/>
      <c r="DC371" s="102"/>
      <c r="DD371" s="102"/>
      <c r="DE371" s="102"/>
      <c r="DF371" s="102"/>
      <c r="DG371" s="102"/>
      <c r="DH371" s="102"/>
      <c r="DI371" s="102"/>
      <c r="DJ371" s="102"/>
      <c r="DK371" s="102"/>
      <c r="DL371" s="102"/>
      <c r="DM371" s="102"/>
      <c r="DN371" s="102"/>
      <c r="DO371" s="102"/>
      <c r="DP371" s="102"/>
      <c r="DQ371" s="102"/>
      <c r="DR371" s="102"/>
      <c r="DS371" s="102"/>
      <c r="DT371" s="102"/>
      <c r="DU371" s="102"/>
      <c r="DV371" s="102"/>
      <c r="DW371" s="102"/>
      <c r="DX371" s="102"/>
      <c r="DY371" s="102"/>
      <c r="DZ371" s="102"/>
      <c r="EA371" s="102"/>
      <c r="EB371" s="102"/>
      <c r="EC371" s="102"/>
      <c r="ED371" s="102"/>
      <c r="EE371" s="102"/>
    </row>
    <row r="372" spans="1:135" x14ac:dyDescent="0.15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  <c r="CW372" s="102"/>
      <c r="CX372" s="102"/>
      <c r="CY372" s="102"/>
      <c r="CZ372" s="102"/>
      <c r="DA372" s="102"/>
      <c r="DB372" s="102"/>
      <c r="DC372" s="102"/>
      <c r="DD372" s="102"/>
      <c r="DE372" s="102"/>
      <c r="DF372" s="102"/>
      <c r="DG372" s="102"/>
      <c r="DH372" s="102"/>
      <c r="DI372" s="102"/>
      <c r="DJ372" s="102"/>
      <c r="DK372" s="102"/>
      <c r="DL372" s="102"/>
      <c r="DM372" s="102"/>
      <c r="DN372" s="102"/>
      <c r="DO372" s="102"/>
      <c r="DP372" s="102"/>
      <c r="DQ372" s="102"/>
      <c r="DR372" s="102"/>
      <c r="DS372" s="102"/>
      <c r="DT372" s="102"/>
      <c r="DU372" s="102"/>
      <c r="DV372" s="102"/>
      <c r="DW372" s="102"/>
      <c r="DX372" s="102"/>
      <c r="DY372" s="102"/>
      <c r="DZ372" s="102"/>
      <c r="EA372" s="102"/>
      <c r="EB372" s="102"/>
      <c r="EC372" s="102"/>
      <c r="ED372" s="102"/>
      <c r="EE372" s="102"/>
    </row>
    <row r="373" spans="1:135" x14ac:dyDescent="0.15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  <c r="CW373" s="102"/>
      <c r="CX373" s="102"/>
      <c r="CY373" s="102"/>
      <c r="CZ373" s="102"/>
      <c r="DA373" s="102"/>
      <c r="DB373" s="102"/>
      <c r="DC373" s="102"/>
      <c r="DD373" s="102"/>
      <c r="DE373" s="102"/>
      <c r="DF373" s="102"/>
      <c r="DG373" s="102"/>
      <c r="DH373" s="102"/>
      <c r="DI373" s="102"/>
      <c r="DJ373" s="102"/>
      <c r="DK373" s="102"/>
      <c r="DL373" s="102"/>
      <c r="DM373" s="102"/>
      <c r="DN373" s="102"/>
      <c r="DO373" s="102"/>
      <c r="DP373" s="102"/>
      <c r="DQ373" s="102"/>
      <c r="DR373" s="102"/>
      <c r="DS373" s="102"/>
      <c r="DT373" s="102"/>
      <c r="DU373" s="102"/>
      <c r="DV373" s="102"/>
      <c r="DW373" s="102"/>
      <c r="DX373" s="102"/>
      <c r="DY373" s="102"/>
      <c r="DZ373" s="102"/>
      <c r="EA373" s="102"/>
      <c r="EB373" s="102"/>
      <c r="EC373" s="102"/>
      <c r="ED373" s="102"/>
      <c r="EE373" s="102"/>
    </row>
    <row r="374" spans="1:135" x14ac:dyDescent="0.15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  <c r="CW374" s="102"/>
      <c r="CX374" s="102"/>
      <c r="CY374" s="102"/>
      <c r="CZ374" s="102"/>
      <c r="DA374" s="102"/>
      <c r="DB374" s="102"/>
      <c r="DC374" s="102"/>
      <c r="DD374" s="102"/>
      <c r="DE374" s="102"/>
      <c r="DF374" s="102"/>
      <c r="DG374" s="102"/>
      <c r="DH374" s="102"/>
      <c r="DI374" s="102"/>
      <c r="DJ374" s="102"/>
      <c r="DK374" s="102"/>
      <c r="DL374" s="102"/>
      <c r="DM374" s="102"/>
      <c r="DN374" s="102"/>
      <c r="DO374" s="102"/>
      <c r="DP374" s="102"/>
      <c r="DQ374" s="102"/>
      <c r="DR374" s="102"/>
      <c r="DS374" s="102"/>
      <c r="DT374" s="102"/>
      <c r="DU374" s="102"/>
      <c r="DV374" s="102"/>
      <c r="DW374" s="102"/>
      <c r="DX374" s="102"/>
      <c r="DY374" s="102"/>
      <c r="DZ374" s="102"/>
      <c r="EA374" s="102"/>
      <c r="EB374" s="102"/>
      <c r="EC374" s="102"/>
      <c r="ED374" s="102"/>
      <c r="EE374" s="102"/>
    </row>
    <row r="375" spans="1:135" x14ac:dyDescent="0.15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  <c r="CW375" s="102"/>
      <c r="CX375" s="102"/>
      <c r="CY375" s="102"/>
      <c r="CZ375" s="102"/>
      <c r="DA375" s="102"/>
      <c r="DB375" s="102"/>
      <c r="DC375" s="102"/>
      <c r="DD375" s="102"/>
      <c r="DE375" s="102"/>
      <c r="DF375" s="102"/>
      <c r="DG375" s="102"/>
      <c r="DH375" s="102"/>
      <c r="DI375" s="102"/>
      <c r="DJ375" s="102"/>
      <c r="DK375" s="102"/>
      <c r="DL375" s="102"/>
      <c r="DM375" s="102"/>
      <c r="DN375" s="102"/>
      <c r="DO375" s="102"/>
      <c r="DP375" s="102"/>
      <c r="DQ375" s="102"/>
      <c r="DR375" s="102"/>
      <c r="DS375" s="102"/>
      <c r="DT375" s="102"/>
      <c r="DU375" s="102"/>
      <c r="DV375" s="102"/>
      <c r="DW375" s="102"/>
      <c r="DX375" s="102"/>
      <c r="DY375" s="102"/>
      <c r="DZ375" s="102"/>
      <c r="EA375" s="102"/>
      <c r="EB375" s="102"/>
      <c r="EC375" s="102"/>
      <c r="ED375" s="102"/>
      <c r="EE375" s="102"/>
    </row>
    <row r="376" spans="1:135" x14ac:dyDescent="0.15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  <c r="CW376" s="102"/>
      <c r="CX376" s="102"/>
      <c r="CY376" s="102"/>
      <c r="CZ376" s="102"/>
      <c r="DA376" s="102"/>
      <c r="DB376" s="102"/>
      <c r="DC376" s="102"/>
      <c r="DD376" s="102"/>
      <c r="DE376" s="102"/>
      <c r="DF376" s="102"/>
      <c r="DG376" s="102"/>
      <c r="DH376" s="102"/>
      <c r="DI376" s="102"/>
      <c r="DJ376" s="102"/>
      <c r="DK376" s="102"/>
      <c r="DL376" s="102"/>
      <c r="DM376" s="102"/>
      <c r="DN376" s="102"/>
      <c r="DO376" s="102"/>
      <c r="DP376" s="102"/>
      <c r="DQ376" s="102"/>
      <c r="DR376" s="102"/>
      <c r="DS376" s="102"/>
      <c r="DT376" s="102"/>
      <c r="DU376" s="102"/>
      <c r="DV376" s="102"/>
      <c r="DW376" s="102"/>
      <c r="DX376" s="102"/>
      <c r="DY376" s="102"/>
      <c r="DZ376" s="102"/>
      <c r="EA376" s="102"/>
      <c r="EB376" s="102"/>
      <c r="EC376" s="102"/>
      <c r="ED376" s="102"/>
      <c r="EE376" s="102"/>
    </row>
    <row r="377" spans="1:135" x14ac:dyDescent="0.15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  <c r="CW377" s="102"/>
      <c r="CX377" s="102"/>
      <c r="CY377" s="102"/>
      <c r="CZ377" s="102"/>
      <c r="DA377" s="102"/>
      <c r="DB377" s="102"/>
      <c r="DC377" s="102"/>
      <c r="DD377" s="102"/>
      <c r="DE377" s="102"/>
      <c r="DF377" s="102"/>
      <c r="DG377" s="102"/>
      <c r="DH377" s="102"/>
      <c r="DI377" s="102"/>
      <c r="DJ377" s="102"/>
      <c r="DK377" s="102"/>
      <c r="DL377" s="102"/>
      <c r="DM377" s="102"/>
      <c r="DN377" s="102"/>
      <c r="DO377" s="102"/>
      <c r="DP377" s="102"/>
      <c r="DQ377" s="102"/>
      <c r="DR377" s="102"/>
      <c r="DS377" s="102"/>
      <c r="DT377" s="102"/>
      <c r="DU377" s="102"/>
      <c r="DV377" s="102"/>
      <c r="DW377" s="102"/>
      <c r="DX377" s="102"/>
      <c r="DY377" s="102"/>
      <c r="DZ377" s="102"/>
      <c r="EA377" s="102"/>
      <c r="EB377" s="102"/>
      <c r="EC377" s="102"/>
      <c r="ED377" s="102"/>
      <c r="EE377" s="102"/>
    </row>
    <row r="378" spans="1:135" x14ac:dyDescent="0.15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  <c r="CW378" s="102"/>
      <c r="CX378" s="102"/>
      <c r="CY378" s="102"/>
      <c r="CZ378" s="102"/>
      <c r="DA378" s="102"/>
      <c r="DB378" s="102"/>
      <c r="DC378" s="102"/>
      <c r="DD378" s="102"/>
      <c r="DE378" s="102"/>
      <c r="DF378" s="102"/>
      <c r="DG378" s="102"/>
      <c r="DH378" s="102"/>
      <c r="DI378" s="102"/>
      <c r="DJ378" s="102"/>
      <c r="DK378" s="102"/>
      <c r="DL378" s="102"/>
      <c r="DM378" s="102"/>
      <c r="DN378" s="102"/>
      <c r="DO378" s="102"/>
      <c r="DP378" s="102"/>
      <c r="DQ378" s="102"/>
      <c r="DR378" s="102"/>
      <c r="DS378" s="102"/>
      <c r="DT378" s="102"/>
      <c r="DU378" s="102"/>
      <c r="DV378" s="102"/>
      <c r="DW378" s="102"/>
      <c r="DX378" s="102"/>
      <c r="DY378" s="102"/>
      <c r="DZ378" s="102"/>
      <c r="EA378" s="102"/>
      <c r="EB378" s="102"/>
      <c r="EC378" s="102"/>
      <c r="ED378" s="102"/>
      <c r="EE378" s="102"/>
    </row>
    <row r="379" spans="1:135" x14ac:dyDescent="0.15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  <c r="CW379" s="102"/>
      <c r="CX379" s="102"/>
      <c r="CY379" s="102"/>
      <c r="CZ379" s="102"/>
      <c r="DA379" s="102"/>
      <c r="DB379" s="102"/>
      <c r="DC379" s="102"/>
      <c r="DD379" s="102"/>
      <c r="DE379" s="102"/>
      <c r="DF379" s="102"/>
      <c r="DG379" s="102"/>
      <c r="DH379" s="102"/>
      <c r="DI379" s="102"/>
      <c r="DJ379" s="102"/>
      <c r="DK379" s="102"/>
      <c r="DL379" s="102"/>
      <c r="DM379" s="102"/>
      <c r="DN379" s="102"/>
      <c r="DO379" s="102"/>
      <c r="DP379" s="102"/>
      <c r="DQ379" s="102"/>
      <c r="DR379" s="102"/>
      <c r="DS379" s="102"/>
      <c r="DT379" s="102"/>
      <c r="DU379" s="102"/>
      <c r="DV379" s="102"/>
      <c r="DW379" s="102"/>
      <c r="DX379" s="102"/>
      <c r="DY379" s="102"/>
      <c r="DZ379" s="102"/>
      <c r="EA379" s="102"/>
      <c r="EB379" s="102"/>
      <c r="EC379" s="102"/>
      <c r="ED379" s="102"/>
      <c r="EE379" s="102"/>
    </row>
    <row r="380" spans="1:135" x14ac:dyDescent="0.15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  <c r="CW380" s="102"/>
      <c r="CX380" s="102"/>
      <c r="CY380" s="102"/>
      <c r="CZ380" s="102"/>
      <c r="DA380" s="102"/>
      <c r="DB380" s="102"/>
      <c r="DC380" s="102"/>
      <c r="DD380" s="102"/>
      <c r="DE380" s="102"/>
      <c r="DF380" s="102"/>
      <c r="DG380" s="102"/>
      <c r="DH380" s="102"/>
      <c r="DI380" s="102"/>
      <c r="DJ380" s="102"/>
      <c r="DK380" s="102"/>
      <c r="DL380" s="102"/>
      <c r="DM380" s="102"/>
      <c r="DN380" s="102"/>
      <c r="DO380" s="102"/>
      <c r="DP380" s="102"/>
      <c r="DQ380" s="102"/>
      <c r="DR380" s="102"/>
      <c r="DS380" s="102"/>
      <c r="DT380" s="102"/>
      <c r="DU380" s="102"/>
      <c r="DV380" s="102"/>
      <c r="DW380" s="102"/>
      <c r="DX380" s="102"/>
      <c r="DY380" s="102"/>
      <c r="DZ380" s="102"/>
      <c r="EA380" s="102"/>
      <c r="EB380" s="102"/>
      <c r="EC380" s="102"/>
      <c r="ED380" s="102"/>
      <c r="EE380" s="102"/>
    </row>
    <row r="381" spans="1:135" x14ac:dyDescent="0.15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  <c r="CW381" s="102"/>
      <c r="CX381" s="102"/>
      <c r="CY381" s="102"/>
      <c r="CZ381" s="102"/>
      <c r="DA381" s="102"/>
      <c r="DB381" s="102"/>
      <c r="DC381" s="102"/>
      <c r="DD381" s="102"/>
      <c r="DE381" s="102"/>
      <c r="DF381" s="102"/>
      <c r="DG381" s="102"/>
      <c r="DH381" s="102"/>
      <c r="DI381" s="102"/>
      <c r="DJ381" s="102"/>
      <c r="DK381" s="102"/>
      <c r="DL381" s="102"/>
      <c r="DM381" s="102"/>
      <c r="DN381" s="102"/>
      <c r="DO381" s="102"/>
      <c r="DP381" s="102"/>
      <c r="DQ381" s="102"/>
      <c r="DR381" s="102"/>
      <c r="DS381" s="102"/>
      <c r="DT381" s="102"/>
      <c r="DU381" s="102"/>
      <c r="DV381" s="102"/>
      <c r="DW381" s="102"/>
      <c r="DX381" s="102"/>
      <c r="DY381" s="102"/>
      <c r="DZ381" s="102"/>
      <c r="EA381" s="102"/>
      <c r="EB381" s="102"/>
      <c r="EC381" s="102"/>
      <c r="ED381" s="102"/>
      <c r="EE381" s="102"/>
    </row>
    <row r="382" spans="1:135" x14ac:dyDescent="0.15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  <c r="CW382" s="102"/>
      <c r="CX382" s="102"/>
      <c r="CY382" s="102"/>
      <c r="CZ382" s="102"/>
      <c r="DA382" s="102"/>
      <c r="DB382" s="102"/>
      <c r="DC382" s="102"/>
      <c r="DD382" s="102"/>
      <c r="DE382" s="102"/>
      <c r="DF382" s="102"/>
      <c r="DG382" s="102"/>
      <c r="DH382" s="102"/>
      <c r="DI382" s="102"/>
      <c r="DJ382" s="102"/>
      <c r="DK382" s="102"/>
      <c r="DL382" s="102"/>
      <c r="DM382" s="102"/>
      <c r="DN382" s="102"/>
      <c r="DO382" s="102"/>
      <c r="DP382" s="102"/>
      <c r="DQ382" s="102"/>
      <c r="DR382" s="102"/>
      <c r="DS382" s="102"/>
      <c r="DT382" s="102"/>
      <c r="DU382" s="102"/>
      <c r="DV382" s="102"/>
      <c r="DW382" s="102"/>
      <c r="DX382" s="102"/>
      <c r="DY382" s="102"/>
      <c r="DZ382" s="102"/>
      <c r="EA382" s="102"/>
      <c r="EB382" s="102"/>
      <c r="EC382" s="102"/>
      <c r="ED382" s="102"/>
      <c r="EE382" s="102"/>
    </row>
    <row r="383" spans="1:135" x14ac:dyDescent="0.15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  <c r="CW383" s="102"/>
      <c r="CX383" s="102"/>
      <c r="CY383" s="102"/>
      <c r="CZ383" s="102"/>
      <c r="DA383" s="102"/>
      <c r="DB383" s="102"/>
      <c r="DC383" s="102"/>
      <c r="DD383" s="102"/>
      <c r="DE383" s="102"/>
      <c r="DF383" s="102"/>
      <c r="DG383" s="102"/>
      <c r="DH383" s="102"/>
      <c r="DI383" s="102"/>
      <c r="DJ383" s="102"/>
      <c r="DK383" s="102"/>
      <c r="DL383" s="102"/>
      <c r="DM383" s="102"/>
      <c r="DN383" s="102"/>
      <c r="DO383" s="102"/>
      <c r="DP383" s="102"/>
      <c r="DQ383" s="102"/>
      <c r="DR383" s="102"/>
      <c r="DS383" s="102"/>
      <c r="DT383" s="102"/>
      <c r="DU383" s="102"/>
      <c r="DV383" s="102"/>
      <c r="DW383" s="102"/>
      <c r="DX383" s="102"/>
      <c r="DY383" s="102"/>
      <c r="DZ383" s="102"/>
      <c r="EA383" s="102"/>
      <c r="EB383" s="102"/>
      <c r="EC383" s="102"/>
      <c r="ED383" s="102"/>
      <c r="EE383" s="102"/>
    </row>
    <row r="384" spans="1:135" x14ac:dyDescent="0.15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  <c r="CW384" s="102"/>
      <c r="CX384" s="102"/>
      <c r="CY384" s="102"/>
      <c r="CZ384" s="102"/>
      <c r="DA384" s="102"/>
      <c r="DB384" s="102"/>
      <c r="DC384" s="102"/>
      <c r="DD384" s="102"/>
      <c r="DE384" s="102"/>
      <c r="DF384" s="102"/>
      <c r="DG384" s="102"/>
      <c r="DH384" s="102"/>
      <c r="DI384" s="102"/>
      <c r="DJ384" s="102"/>
      <c r="DK384" s="102"/>
      <c r="DL384" s="102"/>
      <c r="DM384" s="102"/>
      <c r="DN384" s="102"/>
      <c r="DO384" s="102"/>
      <c r="DP384" s="102"/>
      <c r="DQ384" s="102"/>
      <c r="DR384" s="102"/>
      <c r="DS384" s="102"/>
      <c r="DT384" s="102"/>
      <c r="DU384" s="102"/>
      <c r="DV384" s="102"/>
      <c r="DW384" s="102"/>
      <c r="DX384" s="102"/>
      <c r="DY384" s="102"/>
      <c r="DZ384" s="102"/>
      <c r="EA384" s="102"/>
      <c r="EB384" s="102"/>
      <c r="EC384" s="102"/>
      <c r="ED384" s="102"/>
      <c r="EE384" s="102"/>
    </row>
    <row r="385" spans="1:135" x14ac:dyDescent="0.15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  <c r="CW385" s="102"/>
      <c r="CX385" s="102"/>
      <c r="CY385" s="102"/>
      <c r="CZ385" s="102"/>
      <c r="DA385" s="102"/>
      <c r="DB385" s="102"/>
      <c r="DC385" s="102"/>
      <c r="DD385" s="102"/>
      <c r="DE385" s="102"/>
      <c r="DF385" s="102"/>
      <c r="DG385" s="102"/>
      <c r="DH385" s="102"/>
      <c r="DI385" s="102"/>
      <c r="DJ385" s="102"/>
      <c r="DK385" s="102"/>
      <c r="DL385" s="102"/>
      <c r="DM385" s="102"/>
      <c r="DN385" s="102"/>
      <c r="DO385" s="102"/>
      <c r="DP385" s="102"/>
      <c r="DQ385" s="102"/>
      <c r="DR385" s="102"/>
      <c r="DS385" s="102"/>
      <c r="DT385" s="102"/>
      <c r="DU385" s="102"/>
      <c r="DV385" s="102"/>
      <c r="DW385" s="102"/>
      <c r="DX385" s="102"/>
      <c r="DY385" s="102"/>
      <c r="DZ385" s="102"/>
      <c r="EA385" s="102"/>
      <c r="EB385" s="102"/>
      <c r="EC385" s="102"/>
      <c r="ED385" s="102"/>
      <c r="EE385" s="102"/>
    </row>
    <row r="386" spans="1:135" x14ac:dyDescent="0.15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  <c r="CW386" s="102"/>
      <c r="CX386" s="102"/>
      <c r="CY386" s="102"/>
      <c r="CZ386" s="102"/>
      <c r="DA386" s="102"/>
      <c r="DB386" s="102"/>
      <c r="DC386" s="102"/>
      <c r="DD386" s="102"/>
      <c r="DE386" s="102"/>
      <c r="DF386" s="102"/>
      <c r="DG386" s="102"/>
      <c r="DH386" s="102"/>
      <c r="DI386" s="102"/>
      <c r="DJ386" s="102"/>
      <c r="DK386" s="102"/>
      <c r="DL386" s="102"/>
      <c r="DM386" s="102"/>
      <c r="DN386" s="102"/>
      <c r="DO386" s="102"/>
      <c r="DP386" s="102"/>
      <c r="DQ386" s="102"/>
      <c r="DR386" s="102"/>
      <c r="DS386" s="102"/>
      <c r="DT386" s="102"/>
      <c r="DU386" s="102"/>
      <c r="DV386" s="102"/>
      <c r="DW386" s="102"/>
      <c r="DX386" s="102"/>
      <c r="DY386" s="102"/>
      <c r="DZ386" s="102"/>
      <c r="EA386" s="102"/>
      <c r="EB386" s="102"/>
      <c r="EC386" s="102"/>
      <c r="ED386" s="102"/>
      <c r="EE386" s="102"/>
    </row>
    <row r="387" spans="1:135" x14ac:dyDescent="0.15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  <c r="CW387" s="102"/>
      <c r="CX387" s="102"/>
      <c r="CY387" s="102"/>
      <c r="CZ387" s="102"/>
      <c r="DA387" s="102"/>
      <c r="DB387" s="102"/>
      <c r="DC387" s="102"/>
      <c r="DD387" s="102"/>
      <c r="DE387" s="102"/>
      <c r="DF387" s="102"/>
      <c r="DG387" s="102"/>
      <c r="DH387" s="102"/>
      <c r="DI387" s="102"/>
      <c r="DJ387" s="102"/>
      <c r="DK387" s="102"/>
      <c r="DL387" s="102"/>
      <c r="DM387" s="102"/>
      <c r="DN387" s="102"/>
      <c r="DO387" s="102"/>
      <c r="DP387" s="102"/>
      <c r="DQ387" s="102"/>
      <c r="DR387" s="102"/>
      <c r="DS387" s="102"/>
      <c r="DT387" s="102"/>
      <c r="DU387" s="102"/>
      <c r="DV387" s="102"/>
      <c r="DW387" s="102"/>
      <c r="DX387" s="102"/>
      <c r="DY387" s="102"/>
      <c r="DZ387" s="102"/>
      <c r="EA387" s="102"/>
      <c r="EB387" s="102"/>
      <c r="EC387" s="102"/>
      <c r="ED387" s="102"/>
      <c r="EE387" s="102"/>
    </row>
    <row r="388" spans="1:135" x14ac:dyDescent="0.15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  <c r="CW388" s="102"/>
      <c r="CX388" s="102"/>
      <c r="CY388" s="102"/>
      <c r="CZ388" s="102"/>
      <c r="DA388" s="102"/>
      <c r="DB388" s="102"/>
      <c r="DC388" s="102"/>
      <c r="DD388" s="102"/>
      <c r="DE388" s="102"/>
      <c r="DF388" s="102"/>
      <c r="DG388" s="102"/>
      <c r="DH388" s="102"/>
      <c r="DI388" s="102"/>
      <c r="DJ388" s="102"/>
      <c r="DK388" s="102"/>
      <c r="DL388" s="102"/>
      <c r="DM388" s="102"/>
      <c r="DN388" s="102"/>
      <c r="DO388" s="102"/>
      <c r="DP388" s="102"/>
      <c r="DQ388" s="102"/>
      <c r="DR388" s="102"/>
      <c r="DS388" s="102"/>
      <c r="DT388" s="102"/>
      <c r="DU388" s="102"/>
      <c r="DV388" s="102"/>
      <c r="DW388" s="102"/>
      <c r="DX388" s="102"/>
      <c r="DY388" s="102"/>
      <c r="DZ388" s="102"/>
      <c r="EA388" s="102"/>
      <c r="EB388" s="102"/>
      <c r="EC388" s="102"/>
      <c r="ED388" s="102"/>
      <c r="EE388" s="102"/>
    </row>
    <row r="389" spans="1:135" x14ac:dyDescent="0.15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  <c r="CW389" s="102"/>
      <c r="CX389" s="102"/>
      <c r="CY389" s="102"/>
      <c r="CZ389" s="102"/>
      <c r="DA389" s="102"/>
      <c r="DB389" s="102"/>
      <c r="DC389" s="102"/>
      <c r="DD389" s="102"/>
      <c r="DE389" s="102"/>
      <c r="DF389" s="102"/>
      <c r="DG389" s="102"/>
      <c r="DH389" s="102"/>
      <c r="DI389" s="102"/>
      <c r="DJ389" s="102"/>
      <c r="DK389" s="102"/>
      <c r="DL389" s="102"/>
      <c r="DM389" s="102"/>
      <c r="DN389" s="102"/>
      <c r="DO389" s="102"/>
      <c r="DP389" s="102"/>
      <c r="DQ389" s="102"/>
      <c r="DR389" s="102"/>
      <c r="DS389" s="102"/>
      <c r="DT389" s="102"/>
      <c r="DU389" s="102"/>
      <c r="DV389" s="102"/>
      <c r="DW389" s="102"/>
      <c r="DX389" s="102"/>
      <c r="DY389" s="102"/>
      <c r="DZ389" s="102"/>
      <c r="EA389" s="102"/>
      <c r="EB389" s="102"/>
      <c r="EC389" s="102"/>
      <c r="ED389" s="102"/>
      <c r="EE389" s="102"/>
    </row>
    <row r="390" spans="1:135" x14ac:dyDescent="0.15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  <c r="CW390" s="102"/>
      <c r="CX390" s="102"/>
      <c r="CY390" s="102"/>
      <c r="CZ390" s="102"/>
      <c r="DA390" s="102"/>
      <c r="DB390" s="102"/>
      <c r="DC390" s="102"/>
      <c r="DD390" s="102"/>
      <c r="DE390" s="102"/>
      <c r="DF390" s="102"/>
      <c r="DG390" s="102"/>
      <c r="DH390" s="102"/>
      <c r="DI390" s="102"/>
      <c r="DJ390" s="102"/>
      <c r="DK390" s="102"/>
      <c r="DL390" s="102"/>
      <c r="DM390" s="102"/>
      <c r="DN390" s="102"/>
      <c r="DO390" s="102"/>
      <c r="DP390" s="102"/>
      <c r="DQ390" s="102"/>
      <c r="DR390" s="102"/>
      <c r="DS390" s="102"/>
      <c r="DT390" s="102"/>
      <c r="DU390" s="102"/>
      <c r="DV390" s="102"/>
      <c r="DW390" s="102"/>
      <c r="DX390" s="102"/>
      <c r="DY390" s="102"/>
      <c r="DZ390" s="102"/>
      <c r="EA390" s="102"/>
      <c r="EB390" s="102"/>
      <c r="EC390" s="102"/>
      <c r="ED390" s="102"/>
      <c r="EE390" s="102"/>
    </row>
    <row r="391" spans="1:135" x14ac:dyDescent="0.15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  <c r="CW391" s="102"/>
      <c r="CX391" s="102"/>
      <c r="CY391" s="102"/>
      <c r="CZ391" s="102"/>
      <c r="DA391" s="102"/>
      <c r="DB391" s="102"/>
      <c r="DC391" s="102"/>
      <c r="DD391" s="102"/>
      <c r="DE391" s="102"/>
      <c r="DF391" s="102"/>
      <c r="DG391" s="102"/>
      <c r="DH391" s="102"/>
      <c r="DI391" s="102"/>
      <c r="DJ391" s="102"/>
      <c r="DK391" s="102"/>
      <c r="DL391" s="102"/>
      <c r="DM391" s="102"/>
      <c r="DN391" s="102"/>
      <c r="DO391" s="102"/>
      <c r="DP391" s="102"/>
      <c r="DQ391" s="102"/>
      <c r="DR391" s="102"/>
      <c r="DS391" s="102"/>
      <c r="DT391" s="102"/>
      <c r="DU391" s="102"/>
      <c r="DV391" s="102"/>
      <c r="DW391" s="102"/>
      <c r="DX391" s="102"/>
      <c r="DY391" s="102"/>
      <c r="DZ391" s="102"/>
      <c r="EA391" s="102"/>
      <c r="EB391" s="102"/>
      <c r="EC391" s="102"/>
      <c r="ED391" s="102"/>
      <c r="EE391" s="102"/>
    </row>
  </sheetData>
  <mergeCells count="509">
    <mergeCell ref="AG11:AI11"/>
    <mergeCell ref="AP12:BK12"/>
    <mergeCell ref="CA12:CV12"/>
    <mergeCell ref="AL8:AR8"/>
    <mergeCell ref="AT8:AW8"/>
    <mergeCell ref="BI8:BL8"/>
    <mergeCell ref="BO8:BR8"/>
    <mergeCell ref="BS8:BV8"/>
    <mergeCell ref="AL10:AO12"/>
    <mergeCell ref="AQ11:AS11"/>
    <mergeCell ref="AT11:AV11"/>
    <mergeCell ref="AW11:AY11"/>
    <mergeCell ref="AZ11:BA11"/>
    <mergeCell ref="BC11:BH11"/>
    <mergeCell ref="BI11:BK11"/>
    <mergeCell ref="BM11:BQ11"/>
    <mergeCell ref="BM12:BQ12"/>
    <mergeCell ref="AL6:AR6"/>
    <mergeCell ref="AS6:AU6"/>
    <mergeCell ref="AW6:BB6"/>
    <mergeCell ref="BC6:BE6"/>
    <mergeCell ref="BH6:BJ6"/>
    <mergeCell ref="BK6:BM6"/>
    <mergeCell ref="AC4:AE4"/>
    <mergeCell ref="Z4:AB4"/>
    <mergeCell ref="BK4:BM4"/>
    <mergeCell ref="AH3:AK4"/>
    <mergeCell ref="BN4:BP4"/>
    <mergeCell ref="CV4:CX4"/>
    <mergeCell ref="CY4:DA4"/>
    <mergeCell ref="DC36:DG36"/>
    <mergeCell ref="CT37:CU37"/>
    <mergeCell ref="DC37:DG37"/>
    <mergeCell ref="CC33:CG34"/>
    <mergeCell ref="CH33:CH34"/>
    <mergeCell ref="CW33:DA33"/>
    <mergeCell ref="CU34:CU35"/>
    <mergeCell ref="CV34:CZ34"/>
    <mergeCell ref="DB34:DB35"/>
    <mergeCell ref="DC34:DG35"/>
    <mergeCell ref="CV35:CZ35"/>
    <mergeCell ref="DC27:DF27"/>
    <mergeCell ref="BW22:BZ22"/>
    <mergeCell ref="CB22:CF22"/>
    <mergeCell ref="CG22:CI22"/>
    <mergeCell ref="CK22:CL22"/>
    <mergeCell ref="CN22:CP22"/>
    <mergeCell ref="CW22:DB22"/>
    <mergeCell ref="DC22:DF22"/>
    <mergeCell ref="BW23:BZ24"/>
    <mergeCell ref="CB23:CF23"/>
    <mergeCell ref="CB27:CF27"/>
    <mergeCell ref="CP53:DA53"/>
    <mergeCell ref="BX45:CA45"/>
    <mergeCell ref="CD45:CG45"/>
    <mergeCell ref="CJ45:CM45"/>
    <mergeCell ref="CP45:CS45"/>
    <mergeCell ref="CV45:CY45"/>
    <mergeCell ref="BW47:DG50"/>
    <mergeCell ref="CS51:CT51"/>
    <mergeCell ref="CU51:CV51"/>
    <mergeCell ref="CW51:CX51"/>
    <mergeCell ref="CY51:CZ51"/>
    <mergeCell ref="DA51:DB51"/>
    <mergeCell ref="DC51:DD51"/>
    <mergeCell ref="CP52:DF52"/>
    <mergeCell ref="CG40:CI40"/>
    <mergeCell ref="CK40:CO40"/>
    <mergeCell ref="CP40:CR40"/>
    <mergeCell ref="CT40:CX40"/>
    <mergeCell ref="CL36:CL37"/>
    <mergeCell ref="CM36:CM37"/>
    <mergeCell ref="CK27:CL27"/>
    <mergeCell ref="CN27:CP27"/>
    <mergeCell ref="CW27:DB27"/>
    <mergeCell ref="CG39:CI39"/>
    <mergeCell ref="CK39:CO39"/>
    <mergeCell ref="CP39:CR39"/>
    <mergeCell ref="CT39:CX39"/>
    <mergeCell ref="CY39:DA39"/>
    <mergeCell ref="CW24:DB24"/>
    <mergeCell ref="DC24:DF24"/>
    <mergeCell ref="DC39:DG39"/>
    <mergeCell ref="BW41:DG42"/>
    <mergeCell ref="CB28:CF28"/>
    <mergeCell ref="CN28:CP28"/>
    <mergeCell ref="CA29:CG29"/>
    <mergeCell ref="CM29:CP29"/>
    <mergeCell ref="CU30:CU31"/>
    <mergeCell ref="CV30:CY30"/>
    <mergeCell ref="DB30:DB31"/>
    <mergeCell ref="DC30:DG31"/>
    <mergeCell ref="CA31:CE32"/>
    <mergeCell ref="CF31:CM31"/>
    <mergeCell ref="CN31:CN32"/>
    <mergeCell ref="CO31:CO32"/>
    <mergeCell ref="CQ31:CQ32"/>
    <mergeCell ref="CV31:CY31"/>
    <mergeCell ref="CF32:CM32"/>
    <mergeCell ref="CT32:CV33"/>
    <mergeCell ref="CW32:DA32"/>
    <mergeCell ref="DB32:DB33"/>
    <mergeCell ref="DC32:DG33"/>
    <mergeCell ref="CA33:CB34"/>
    <mergeCell ref="CG20:CI20"/>
    <mergeCell ref="CK20:CL20"/>
    <mergeCell ref="CN20:CP20"/>
    <mergeCell ref="CW20:DB20"/>
    <mergeCell ref="DC20:DF20"/>
    <mergeCell ref="CQ19:CV28"/>
    <mergeCell ref="CB21:CF21"/>
    <mergeCell ref="CG21:CI21"/>
    <mergeCell ref="CK21:CL21"/>
    <mergeCell ref="CN21:CP21"/>
    <mergeCell ref="CW21:DB21"/>
    <mergeCell ref="DC21:DF21"/>
    <mergeCell ref="CB25:CF25"/>
    <mergeCell ref="CG25:CI25"/>
    <mergeCell ref="CK25:CL25"/>
    <mergeCell ref="CN25:CP25"/>
    <mergeCell ref="CW25:DB25"/>
    <mergeCell ref="DC25:DF25"/>
    <mergeCell ref="CB26:CF26"/>
    <mergeCell ref="CG27:CI27"/>
    <mergeCell ref="CN26:CP26"/>
    <mergeCell ref="CN24:CP24"/>
    <mergeCell ref="CW26:DB26"/>
    <mergeCell ref="CY15:CZ16"/>
    <mergeCell ref="DA15:DE16"/>
    <mergeCell ref="DF15:DF16"/>
    <mergeCell ref="CW18:DB18"/>
    <mergeCell ref="DC18:DF18"/>
    <mergeCell ref="CB19:CF19"/>
    <mergeCell ref="CG19:CI19"/>
    <mergeCell ref="CK19:CL19"/>
    <mergeCell ref="CN19:CP19"/>
    <mergeCell ref="CW19:DB19"/>
    <mergeCell ref="DC19:DF19"/>
    <mergeCell ref="DC26:DF26"/>
    <mergeCell ref="CB17:CK18"/>
    <mergeCell ref="CL17:CV18"/>
    <mergeCell ref="CG23:CI23"/>
    <mergeCell ref="CK23:CL23"/>
    <mergeCell ref="CN23:CP23"/>
    <mergeCell ref="CW23:DB23"/>
    <mergeCell ref="DC23:DF23"/>
    <mergeCell ref="CB24:CF24"/>
    <mergeCell ref="CG24:CI24"/>
    <mergeCell ref="CK24:CL24"/>
    <mergeCell ref="CB20:CF20"/>
    <mergeCell ref="CG26:CI26"/>
    <mergeCell ref="CK26:CL26"/>
    <mergeCell ref="CI13:CK14"/>
    <mergeCell ref="CL13:CO14"/>
    <mergeCell ref="CP13:CQ14"/>
    <mergeCell ref="CR13:CU14"/>
    <mergeCell ref="CC14:CF14"/>
    <mergeCell ref="CA15:CM16"/>
    <mergeCell ref="CN15:CR16"/>
    <mergeCell ref="CS15:CT16"/>
    <mergeCell ref="CU15:CX16"/>
    <mergeCell ref="DD8:DG8"/>
    <mergeCell ref="BW10:BZ12"/>
    <mergeCell ref="CB11:CD11"/>
    <mergeCell ref="CE11:CG11"/>
    <mergeCell ref="CH11:CJ11"/>
    <mergeCell ref="CK11:CL11"/>
    <mergeCell ref="CN11:CS11"/>
    <mergeCell ref="CT11:CV11"/>
    <mergeCell ref="CX11:DB11"/>
    <mergeCell ref="DC11:DE11"/>
    <mergeCell ref="CX12:DB12"/>
    <mergeCell ref="BE52:BU52"/>
    <mergeCell ref="BE53:BP53"/>
    <mergeCell ref="BW6:CC6"/>
    <mergeCell ref="CD6:CF6"/>
    <mergeCell ref="CH6:CM6"/>
    <mergeCell ref="CN6:CP6"/>
    <mergeCell ref="CS6:CU6"/>
    <mergeCell ref="CV6:CX6"/>
    <mergeCell ref="CZ6:DC6"/>
    <mergeCell ref="BW7:CC7"/>
    <mergeCell ref="CD7:CF7"/>
    <mergeCell ref="CI7:CK7"/>
    <mergeCell ref="CS7:CV7"/>
    <mergeCell ref="CW7:CY7"/>
    <mergeCell ref="CZ7:DC7"/>
    <mergeCell ref="BW8:CC8"/>
    <mergeCell ref="CE8:CH8"/>
    <mergeCell ref="CT8:CW8"/>
    <mergeCell ref="CZ8:DC8"/>
    <mergeCell ref="BW13:BZ14"/>
    <mergeCell ref="CA13:CA14"/>
    <mergeCell ref="CB13:CB14"/>
    <mergeCell ref="CC13:CF13"/>
    <mergeCell ref="CG13:CH13"/>
    <mergeCell ref="AM45:AP45"/>
    <mergeCell ref="AS45:AV45"/>
    <mergeCell ref="AY45:BB45"/>
    <mergeCell ref="BE45:BH45"/>
    <mergeCell ref="BK45:BN45"/>
    <mergeCell ref="AL47:BV50"/>
    <mergeCell ref="BH51:BI51"/>
    <mergeCell ref="BJ51:BK51"/>
    <mergeCell ref="BL51:BM51"/>
    <mergeCell ref="BN51:BO51"/>
    <mergeCell ref="BP51:BQ51"/>
    <mergeCell ref="BR51:BS51"/>
    <mergeCell ref="BK34:BO34"/>
    <mergeCell ref="BQ34:BQ35"/>
    <mergeCell ref="BR34:BV35"/>
    <mergeCell ref="BK35:BO35"/>
    <mergeCell ref="AV40:AX40"/>
    <mergeCell ref="AZ40:BD40"/>
    <mergeCell ref="BE40:BG40"/>
    <mergeCell ref="BI40:BM40"/>
    <mergeCell ref="BA36:BA37"/>
    <mergeCell ref="BB36:BB37"/>
    <mergeCell ref="BR36:BV36"/>
    <mergeCell ref="BI37:BJ37"/>
    <mergeCell ref="BR37:BV37"/>
    <mergeCell ref="AV39:AX39"/>
    <mergeCell ref="AZ39:BD39"/>
    <mergeCell ref="BE39:BG39"/>
    <mergeCell ref="BI39:BM39"/>
    <mergeCell ref="BN39:BP39"/>
    <mergeCell ref="BR39:BV39"/>
    <mergeCell ref="BJ34:BJ35"/>
    <mergeCell ref="AL41:BV42"/>
    <mergeCell ref="AQ28:AU28"/>
    <mergeCell ref="BC28:BE28"/>
    <mergeCell ref="AP29:AV29"/>
    <mergeCell ref="BB29:BE29"/>
    <mergeCell ref="BJ30:BJ31"/>
    <mergeCell ref="BK30:BN30"/>
    <mergeCell ref="BQ30:BQ31"/>
    <mergeCell ref="BR30:BV31"/>
    <mergeCell ref="AP31:AT32"/>
    <mergeCell ref="AU31:BB31"/>
    <mergeCell ref="BC31:BC32"/>
    <mergeCell ref="BD31:BD32"/>
    <mergeCell ref="BF31:BF32"/>
    <mergeCell ref="BK31:BN31"/>
    <mergeCell ref="AU32:BB32"/>
    <mergeCell ref="BI32:BK33"/>
    <mergeCell ref="BL32:BP32"/>
    <mergeCell ref="BQ32:BQ33"/>
    <mergeCell ref="BR32:BV33"/>
    <mergeCell ref="AP33:AQ34"/>
    <mergeCell ref="AR33:AV34"/>
    <mergeCell ref="AW33:AW34"/>
    <mergeCell ref="BL33:BP33"/>
    <mergeCell ref="AZ26:BA26"/>
    <mergeCell ref="BC26:BE26"/>
    <mergeCell ref="BL26:BQ26"/>
    <mergeCell ref="BR26:BU26"/>
    <mergeCell ref="AQ27:AU27"/>
    <mergeCell ref="AV27:AX27"/>
    <mergeCell ref="AZ27:BA27"/>
    <mergeCell ref="BC27:BE27"/>
    <mergeCell ref="BL27:BQ27"/>
    <mergeCell ref="BR27:BU27"/>
    <mergeCell ref="AL22:AO22"/>
    <mergeCell ref="AQ22:AU22"/>
    <mergeCell ref="AV22:AX22"/>
    <mergeCell ref="AZ22:BA22"/>
    <mergeCell ref="BC22:BE22"/>
    <mergeCell ref="BL22:BQ22"/>
    <mergeCell ref="BR22:BU22"/>
    <mergeCell ref="AL23:AO24"/>
    <mergeCell ref="AQ23:AU23"/>
    <mergeCell ref="AV23:AX23"/>
    <mergeCell ref="AZ23:BA23"/>
    <mergeCell ref="BC23:BE23"/>
    <mergeCell ref="BL23:BQ23"/>
    <mergeCell ref="BR23:BU23"/>
    <mergeCell ref="AQ24:AU24"/>
    <mergeCell ref="AV24:AX24"/>
    <mergeCell ref="AZ24:BA24"/>
    <mergeCell ref="BC24:BE24"/>
    <mergeCell ref="BL24:BQ24"/>
    <mergeCell ref="BR24:BU24"/>
    <mergeCell ref="AQ19:AU19"/>
    <mergeCell ref="AV19:AX19"/>
    <mergeCell ref="AZ19:BA19"/>
    <mergeCell ref="BC19:BE19"/>
    <mergeCell ref="BL19:BQ19"/>
    <mergeCell ref="BR19:BU19"/>
    <mergeCell ref="AQ20:AU20"/>
    <mergeCell ref="AV20:AX20"/>
    <mergeCell ref="AZ20:BA20"/>
    <mergeCell ref="BC20:BE20"/>
    <mergeCell ref="BL20:BQ20"/>
    <mergeCell ref="BR20:BU20"/>
    <mergeCell ref="BF19:BK28"/>
    <mergeCell ref="AQ21:AU21"/>
    <mergeCell ref="AV21:AX21"/>
    <mergeCell ref="AZ21:BA21"/>
    <mergeCell ref="BC21:BE21"/>
    <mergeCell ref="BL21:BQ21"/>
    <mergeCell ref="BR21:BU21"/>
    <mergeCell ref="BC25:BE25"/>
    <mergeCell ref="BL25:BQ25"/>
    <mergeCell ref="BR25:BU25"/>
    <mergeCell ref="AQ26:AU26"/>
    <mergeCell ref="AV26:AX26"/>
    <mergeCell ref="AP15:BB16"/>
    <mergeCell ref="BC15:BG16"/>
    <mergeCell ref="BH15:BI16"/>
    <mergeCell ref="BJ15:BM16"/>
    <mergeCell ref="BN15:BO16"/>
    <mergeCell ref="BP15:BT16"/>
    <mergeCell ref="BU15:BU16"/>
    <mergeCell ref="BL18:BQ18"/>
    <mergeCell ref="BR18:BU18"/>
    <mergeCell ref="AQ17:AZ18"/>
    <mergeCell ref="BA17:BK18"/>
    <mergeCell ref="AL13:AO14"/>
    <mergeCell ref="AP13:AP14"/>
    <mergeCell ref="AQ13:AQ14"/>
    <mergeCell ref="AR13:AU13"/>
    <mergeCell ref="AV13:AW13"/>
    <mergeCell ref="AX13:AZ14"/>
    <mergeCell ref="BA13:BD14"/>
    <mergeCell ref="BE13:BF14"/>
    <mergeCell ref="BG13:BJ14"/>
    <mergeCell ref="AR14:AU14"/>
    <mergeCell ref="BO6:BR6"/>
    <mergeCell ref="AL7:AR7"/>
    <mergeCell ref="AS7:AU7"/>
    <mergeCell ref="AX7:AZ7"/>
    <mergeCell ref="BH7:BK7"/>
    <mergeCell ref="BL7:BN7"/>
    <mergeCell ref="BO7:BR7"/>
    <mergeCell ref="BR11:BT11"/>
    <mergeCell ref="A47:AK50"/>
    <mergeCell ref="E33:F34"/>
    <mergeCell ref="AD8:AG8"/>
    <mergeCell ref="AD6:AG6"/>
    <mergeCell ref="K23:M23"/>
    <mergeCell ref="K22:M22"/>
    <mergeCell ref="O23:P23"/>
    <mergeCell ref="AA20:AF20"/>
    <mergeCell ref="AA21:AF21"/>
    <mergeCell ref="AA22:AF22"/>
    <mergeCell ref="O24:P24"/>
    <mergeCell ref="R23:T23"/>
    <mergeCell ref="O22:P22"/>
    <mergeCell ref="B45:E45"/>
    <mergeCell ref="B42:E42"/>
    <mergeCell ref="O21:P21"/>
    <mergeCell ref="K39:M39"/>
    <mergeCell ref="K40:M40"/>
    <mergeCell ref="G33:K34"/>
    <mergeCell ref="A13:D14"/>
    <mergeCell ref="A6:G6"/>
    <mergeCell ref="T52:AJ52"/>
    <mergeCell ref="AA51:AB51"/>
    <mergeCell ref="AE51:AF51"/>
    <mergeCell ref="AG51:AH51"/>
    <mergeCell ref="Y51:Z51"/>
    <mergeCell ref="AA7:AC7"/>
    <mergeCell ref="AD7:AG7"/>
    <mergeCell ref="X8:AA8"/>
    <mergeCell ref="AH8:AK8"/>
    <mergeCell ref="W15:X16"/>
    <mergeCell ref="Y15:AB16"/>
    <mergeCell ref="AE15:AI16"/>
    <mergeCell ref="Q41:AK41"/>
    <mergeCell ref="K27:M27"/>
    <mergeCell ref="H45:K45"/>
    <mergeCell ref="N45:Q45"/>
    <mergeCell ref="P42:S42"/>
    <mergeCell ref="AJ15:AJ16"/>
    <mergeCell ref="AG18:AJ18"/>
    <mergeCell ref="T53:AE53"/>
    <mergeCell ref="W7:Z7"/>
    <mergeCell ref="AG19:AJ19"/>
    <mergeCell ref="AG20:AJ20"/>
    <mergeCell ref="AG21:AJ21"/>
    <mergeCell ref="AG22:AJ22"/>
    <mergeCell ref="AG23:AJ23"/>
    <mergeCell ref="AG24:AJ24"/>
    <mergeCell ref="T45:W45"/>
    <mergeCell ref="Z45:AC45"/>
    <mergeCell ref="AC51:AD51"/>
    <mergeCell ref="AA23:AF23"/>
    <mergeCell ref="AA24:AF24"/>
    <mergeCell ref="AB12:AF12"/>
    <mergeCell ref="AB11:AF11"/>
    <mergeCell ref="AC15:AD16"/>
    <mergeCell ref="R11:W11"/>
    <mergeCell ref="O40:S40"/>
    <mergeCell ref="AA18:AF18"/>
    <mergeCell ref="O25:P25"/>
    <mergeCell ref="R25:T25"/>
    <mergeCell ref="O26:P26"/>
    <mergeCell ref="AA19:AF19"/>
    <mergeCell ref="W51:X51"/>
    <mergeCell ref="DO29:DQ29"/>
    <mergeCell ref="DO30:DQ30"/>
    <mergeCell ref="AF32:AF33"/>
    <mergeCell ref="X40:AB40"/>
    <mergeCell ref="AG39:AK39"/>
    <mergeCell ref="T40:V40"/>
    <mergeCell ref="AC39:AE39"/>
    <mergeCell ref="T39:V39"/>
    <mergeCell ref="AG25:AJ25"/>
    <mergeCell ref="AG26:AJ26"/>
    <mergeCell ref="AG27:AJ27"/>
    <mergeCell ref="Q29:T29"/>
    <mergeCell ref="U31:U32"/>
    <mergeCell ref="O39:S39"/>
    <mergeCell ref="R26:T26"/>
    <mergeCell ref="AF30:AF31"/>
    <mergeCell ref="R31:R32"/>
    <mergeCell ref="AG32:AK33"/>
    <mergeCell ref="AG30:AK31"/>
    <mergeCell ref="S31:S32"/>
    <mergeCell ref="X39:AB39"/>
    <mergeCell ref="AQ25:AU25"/>
    <mergeCell ref="AV25:AX25"/>
    <mergeCell ref="AZ25:BA25"/>
    <mergeCell ref="H6:J6"/>
    <mergeCell ref="L6:Q6"/>
    <mergeCell ref="R6:T6"/>
    <mergeCell ref="Z6:AB6"/>
    <mergeCell ref="L11:N11"/>
    <mergeCell ref="O11:P11"/>
    <mergeCell ref="X11:Z11"/>
    <mergeCell ref="F11:H11"/>
    <mergeCell ref="A8:G8"/>
    <mergeCell ref="I8:L8"/>
    <mergeCell ref="A7:G7"/>
    <mergeCell ref="H7:J7"/>
    <mergeCell ref="M7:O7"/>
    <mergeCell ref="A10:D12"/>
    <mergeCell ref="I11:K11"/>
    <mergeCell ref="E12:Z12"/>
    <mergeCell ref="AA27:AF27"/>
    <mergeCell ref="AA25:AF25"/>
    <mergeCell ref="AA26:AF26"/>
    <mergeCell ref="K20:M20"/>
    <mergeCell ref="K19:M19"/>
    <mergeCell ref="G14:J14"/>
    <mergeCell ref="M13:O14"/>
    <mergeCell ref="P13:S14"/>
    <mergeCell ref="T13:U14"/>
    <mergeCell ref="R19:T19"/>
    <mergeCell ref="R20:T20"/>
    <mergeCell ref="V13:Y14"/>
    <mergeCell ref="F19:J19"/>
    <mergeCell ref="F20:J20"/>
    <mergeCell ref="F17:O18"/>
    <mergeCell ref="P17:Z18"/>
    <mergeCell ref="U19:Z28"/>
    <mergeCell ref="R21:T21"/>
    <mergeCell ref="R22:T22"/>
    <mergeCell ref="K21:M21"/>
    <mergeCell ref="O27:P27"/>
    <mergeCell ref="R27:T27"/>
    <mergeCell ref="O20:P20"/>
    <mergeCell ref="A23:D24"/>
    <mergeCell ref="A22:D22"/>
    <mergeCell ref="F28:J28"/>
    <mergeCell ref="E29:K29"/>
    <mergeCell ref="K24:M24"/>
    <mergeCell ref="AG37:AK37"/>
    <mergeCell ref="AF34:AF35"/>
    <mergeCell ref="Y34:Y35"/>
    <mergeCell ref="P36:P37"/>
    <mergeCell ref="Q36:Q37"/>
    <mergeCell ref="AG36:AK36"/>
    <mergeCell ref="AG34:AK35"/>
    <mergeCell ref="Z35:AD35"/>
    <mergeCell ref="X37:Y37"/>
    <mergeCell ref="Z31:AC31"/>
    <mergeCell ref="Y30:Y31"/>
    <mergeCell ref="X32:Z33"/>
    <mergeCell ref="AA32:AE32"/>
    <mergeCell ref="AA33:AE33"/>
    <mergeCell ref="R24:T24"/>
    <mergeCell ref="R28:T28"/>
    <mergeCell ref="J31:Q31"/>
    <mergeCell ref="K25:M25"/>
    <mergeCell ref="BW3:CD3"/>
    <mergeCell ref="BS3:BV4"/>
    <mergeCell ref="DD3:DG4"/>
    <mergeCell ref="E31:I32"/>
    <mergeCell ref="W6:Y6"/>
    <mergeCell ref="J32:Q32"/>
    <mergeCell ref="L33:L34"/>
    <mergeCell ref="Z34:AD34"/>
    <mergeCell ref="F21:J21"/>
    <mergeCell ref="F22:J22"/>
    <mergeCell ref="F23:J23"/>
    <mergeCell ref="F24:J24"/>
    <mergeCell ref="F25:J25"/>
    <mergeCell ref="F26:J26"/>
    <mergeCell ref="F27:J27"/>
    <mergeCell ref="K26:M26"/>
    <mergeCell ref="Z30:AC30"/>
    <mergeCell ref="E13:E14"/>
    <mergeCell ref="F13:F14"/>
    <mergeCell ref="G13:J13"/>
    <mergeCell ref="K13:L13"/>
    <mergeCell ref="E15:Q16"/>
    <mergeCell ref="R15:V16"/>
    <mergeCell ref="O19:P19"/>
  </mergeCells>
  <phoneticPr fontId="2"/>
  <dataValidations count="8">
    <dataValidation type="list" allowBlank="1" showInputMessage="1" showErrorMessage="1" sqref="CY4:DA4 AC4:AE4 BN4:BP4">
      <formula1>$DN$17:$DS$17</formula1>
    </dataValidation>
    <dataValidation type="list" allowBlank="1" showInputMessage="1" showErrorMessage="1" sqref="H6:J6 CD6:CF6 AS6:AU6">
      <formula1>$DW$9:$DW$65</formula1>
    </dataValidation>
    <dataValidation type="list" allowBlank="1" showInputMessage="1" showErrorMessage="1" sqref="R15:V16 CN15:CR16 BC15:BG16">
      <formula1>$DX$9:$DX$252</formula1>
    </dataValidation>
    <dataValidation type="list" allowBlank="1" showInputMessage="1" showErrorMessage="1" sqref="O19:P27 CK19:CL27 AZ19:BA27">
      <formula1>$DW$9:$DW$43</formula1>
    </dataValidation>
    <dataValidation type="list" allowBlank="1" showInputMessage="1" showErrorMessage="1" sqref="R28:T28 CN28:CP28 BC28:BE28">
      <formula1>$DX$9:$DX$208</formula1>
    </dataValidation>
    <dataValidation type="list" allowBlank="1" showInputMessage="1" showErrorMessage="1" sqref="H45:K45 CJ45:CM45 CD45:CG45 AY45:BB45 AS45:AV45 N45:Q45">
      <formula1>$EA$9:$EA$205</formula1>
    </dataValidation>
    <dataValidation type="list" allowBlank="1" showInputMessage="1" showErrorMessage="1" sqref="B42:E42">
      <formula1>$DZ$9:$DZ$45</formula1>
    </dataValidation>
    <dataValidation type="list" allowBlank="1" showInputMessage="1" showErrorMessage="1" sqref="R11:W11 CN11:CS11 BC11:BH11">
      <formula1>$DW$9:$DW$72</formula1>
    </dataValidation>
  </dataValidations>
  <pageMargins left="1.0236220472440944" right="0.39370078740157483" top="0.70866141732283472" bottom="0.39370078740157483" header="0.6692913385826772" footer="0.31496062992125984"/>
  <pageSetup paperSize="9" orientation="portrait" r:id="rId1"/>
  <rowBreaks count="1" manualBreakCount="1">
    <brk id="56" max="16383" man="1"/>
  </rowBreaks>
  <colBreaks count="3" manualBreakCount="3">
    <brk id="37" max="1048575" man="1"/>
    <brk id="74" max="1048575" man="1"/>
    <brk id="115" min="3" max="3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9FF66"/>
  </sheetPr>
  <dimension ref="A1:EA360"/>
  <sheetViews>
    <sheetView showGridLines="0" showZeros="0" view="pageBreakPreview" topLeftCell="A25" zoomScaleSheetLayoutView="100" workbookViewId="0">
      <selection activeCell="U54" sqref="U54"/>
    </sheetView>
  </sheetViews>
  <sheetFormatPr defaultRowHeight="14.25" x14ac:dyDescent="0.15"/>
  <cols>
    <col min="1" max="117" width="2" customWidth="1"/>
    <col min="118" max="118" width="3.625" customWidth="1"/>
    <col min="119" max="119" width="6.875" customWidth="1"/>
    <col min="120" max="125" width="7.625" customWidth="1"/>
  </cols>
  <sheetData>
    <row r="1" spans="1:131" ht="14.25" customHeight="1" x14ac:dyDescent="0.15">
      <c r="A1" s="292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</row>
    <row r="2" spans="1:131" x14ac:dyDescent="0.15">
      <c r="A2" s="291"/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</row>
    <row r="3" spans="1:131" ht="13.5" customHeight="1" x14ac:dyDescent="0.15">
      <c r="A3" s="300" t="s">
        <v>304</v>
      </c>
      <c r="B3" s="291"/>
      <c r="C3" s="291"/>
      <c r="D3" s="291"/>
      <c r="E3" s="291"/>
      <c r="F3" s="291"/>
      <c r="G3" s="291"/>
      <c r="H3" s="301" t="s">
        <v>284</v>
      </c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AH3" s="530" t="s">
        <v>297</v>
      </c>
      <c r="AI3" s="531"/>
      <c r="AJ3" s="531"/>
      <c r="AK3" s="531"/>
      <c r="AL3" t="s">
        <v>305</v>
      </c>
      <c r="AS3" s="250" t="s">
        <v>285</v>
      </c>
      <c r="BS3" s="530" t="s">
        <v>297</v>
      </c>
      <c r="BT3" s="531"/>
      <c r="BU3" s="531"/>
      <c r="BV3" s="531"/>
      <c r="BW3" t="s">
        <v>304</v>
      </c>
      <c r="CD3" s="250" t="s">
        <v>286</v>
      </c>
      <c r="DD3" s="530" t="s">
        <v>297</v>
      </c>
      <c r="DE3" s="531"/>
      <c r="DF3" s="531"/>
      <c r="DG3" s="531"/>
    </row>
    <row r="4" spans="1:131" ht="15" thickBot="1" x14ac:dyDescent="0.2">
      <c r="A4" s="188" t="s">
        <v>259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8"/>
      <c r="U4" s="241" t="str">
        <f>IF(A58=1,"起点A～B）","")</f>
        <v/>
      </c>
      <c r="V4" s="188"/>
      <c r="W4" s="242"/>
      <c r="Z4" s="756" t="s">
        <v>251</v>
      </c>
      <c r="AA4" s="756"/>
      <c r="AB4" s="756"/>
      <c r="AC4" s="645"/>
      <c r="AD4" s="645"/>
      <c r="AE4" s="645"/>
      <c r="AF4" s="188" t="s">
        <v>252</v>
      </c>
      <c r="AG4" s="189"/>
      <c r="AH4" s="532"/>
      <c r="AI4" s="532"/>
      <c r="AJ4" s="532"/>
      <c r="AK4" s="532"/>
      <c r="AL4" s="188" t="s">
        <v>259</v>
      </c>
      <c r="AM4" s="189"/>
      <c r="AN4" s="189"/>
      <c r="AO4" s="189"/>
      <c r="AP4" s="189"/>
      <c r="AQ4" s="189"/>
      <c r="AR4" s="189"/>
      <c r="AS4" s="189"/>
      <c r="AT4" s="189"/>
      <c r="AU4" s="189"/>
      <c r="AV4" s="274"/>
      <c r="AW4" s="189"/>
      <c r="AX4" s="189"/>
      <c r="AY4" s="189"/>
      <c r="AZ4" s="189"/>
      <c r="BA4" s="189"/>
      <c r="BB4" s="189"/>
      <c r="BC4" s="189"/>
      <c r="BD4" s="189"/>
      <c r="BE4" s="188"/>
      <c r="BF4" s="241" t="str">
        <f>IF(AND(AL58=1,A58=1),"B～C）","")</f>
        <v/>
      </c>
      <c r="BG4" s="188"/>
      <c r="BH4" s="242"/>
      <c r="BK4" s="756" t="s">
        <v>251</v>
      </c>
      <c r="BL4" s="756"/>
      <c r="BM4" s="756"/>
      <c r="BN4" s="757"/>
      <c r="BO4" s="757"/>
      <c r="BP4" s="757"/>
      <c r="BQ4" s="188" t="s">
        <v>252</v>
      </c>
      <c r="BR4" s="189"/>
      <c r="BS4" s="532"/>
      <c r="BT4" s="532"/>
      <c r="BU4" s="532"/>
      <c r="BV4" s="532"/>
      <c r="BW4" s="188" t="s">
        <v>259</v>
      </c>
      <c r="BX4" s="189"/>
      <c r="BY4" s="189"/>
      <c r="BZ4" s="189"/>
      <c r="CA4" s="189"/>
      <c r="CB4" s="189"/>
      <c r="CC4" s="189"/>
      <c r="CD4" s="189"/>
      <c r="CE4" s="189"/>
      <c r="CF4" s="189"/>
      <c r="CG4" s="189"/>
      <c r="CH4" s="189"/>
      <c r="CI4" s="189"/>
      <c r="CJ4" s="189"/>
      <c r="CK4" s="189"/>
      <c r="CL4" s="189"/>
      <c r="CM4" s="189"/>
      <c r="CN4" s="189"/>
      <c r="CO4" s="189"/>
      <c r="CP4" s="188"/>
      <c r="CQ4" s="241" t="str">
        <f>IF(AND(BW58=1,A58=1,AL58=1),"C～D）","")</f>
        <v/>
      </c>
      <c r="CR4" s="188"/>
      <c r="CS4" s="242"/>
      <c r="CV4" s="756" t="s">
        <v>251</v>
      </c>
      <c r="CW4" s="756"/>
      <c r="CX4" s="756"/>
      <c r="CY4" s="757"/>
      <c r="CZ4" s="757"/>
      <c r="DA4" s="757"/>
      <c r="DB4" s="188" t="s">
        <v>252</v>
      </c>
      <c r="DC4" s="189"/>
      <c r="DD4" s="532"/>
      <c r="DE4" s="532"/>
      <c r="DF4" s="532"/>
      <c r="DG4" s="532"/>
      <c r="DH4" s="97"/>
      <c r="DI4" s="97"/>
      <c r="DJ4" s="97"/>
      <c r="DK4" s="97"/>
      <c r="DL4" s="3"/>
      <c r="DM4" s="3"/>
      <c r="DN4" s="3"/>
      <c r="DO4" s="3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</row>
    <row r="5" spans="1:131" x14ac:dyDescent="0.15">
      <c r="A5" s="258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 t="s">
        <v>250</v>
      </c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60"/>
      <c r="AL5" s="258"/>
      <c r="AM5" s="259"/>
      <c r="AN5" s="259"/>
      <c r="AO5" s="259"/>
      <c r="AP5" s="259"/>
      <c r="AQ5" s="259"/>
      <c r="AR5" s="259"/>
      <c r="AS5" s="259"/>
      <c r="AT5" s="259"/>
      <c r="AU5" s="259"/>
      <c r="AV5" s="259"/>
      <c r="AW5" s="259"/>
      <c r="AX5" s="259"/>
      <c r="AY5" s="259"/>
      <c r="AZ5" s="259"/>
      <c r="BA5" s="259"/>
      <c r="BB5" s="259" t="s">
        <v>250</v>
      </c>
      <c r="BC5" s="259"/>
      <c r="BD5" s="259"/>
      <c r="BE5" s="259"/>
      <c r="BF5" s="259"/>
      <c r="BG5" s="259"/>
      <c r="BH5" s="259"/>
      <c r="BI5" s="259"/>
      <c r="BJ5" s="259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60"/>
      <c r="BW5" s="258"/>
      <c r="BX5" s="259"/>
      <c r="BY5" s="259"/>
      <c r="BZ5" s="259"/>
      <c r="CA5" s="259"/>
      <c r="CB5" s="259"/>
      <c r="CC5" s="259"/>
      <c r="CD5" s="259"/>
      <c r="CE5" s="259"/>
      <c r="CF5" s="259"/>
      <c r="CG5" s="259"/>
      <c r="CH5" s="259"/>
      <c r="CI5" s="259"/>
      <c r="CJ5" s="259"/>
      <c r="CK5" s="259"/>
      <c r="CL5" s="259"/>
      <c r="CM5" s="259" t="s">
        <v>250</v>
      </c>
      <c r="CN5" s="259"/>
      <c r="CO5" s="259"/>
      <c r="CP5" s="259"/>
      <c r="CQ5" s="259"/>
      <c r="CR5" s="259"/>
      <c r="CS5" s="259"/>
      <c r="CT5" s="259"/>
      <c r="CU5" s="259"/>
      <c r="CV5" s="259"/>
      <c r="CW5" s="259"/>
      <c r="CX5" s="259"/>
      <c r="CY5" s="259"/>
      <c r="CZ5" s="259"/>
      <c r="DA5" s="259"/>
      <c r="DB5" s="259"/>
      <c r="DC5" s="259"/>
      <c r="DD5" s="259"/>
      <c r="DE5" s="259"/>
      <c r="DF5" s="259"/>
      <c r="DG5" s="260"/>
      <c r="DH5" s="198"/>
      <c r="DI5" s="198"/>
      <c r="DJ5" s="198"/>
      <c r="DK5" s="198"/>
      <c r="DL5" s="3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</row>
    <row r="6" spans="1:131" ht="17.25" x14ac:dyDescent="0.15">
      <c r="A6" s="406" t="s">
        <v>141</v>
      </c>
      <c r="B6" s="333"/>
      <c r="C6" s="333"/>
      <c r="D6" s="333"/>
      <c r="E6" s="333"/>
      <c r="F6" s="333"/>
      <c r="G6" s="334"/>
      <c r="H6" s="738"/>
      <c r="I6" s="739"/>
      <c r="J6" s="739"/>
      <c r="K6" s="739"/>
      <c r="L6" s="205" t="s">
        <v>139</v>
      </c>
      <c r="M6" s="185"/>
      <c r="N6" s="332" t="s">
        <v>140</v>
      </c>
      <c r="O6" s="333"/>
      <c r="P6" s="333"/>
      <c r="Q6" s="333"/>
      <c r="R6" s="333"/>
      <c r="S6" s="334"/>
      <c r="T6" s="333">
        <f>H6</f>
        <v>0</v>
      </c>
      <c r="U6" s="333"/>
      <c r="V6" s="333"/>
      <c r="W6" s="8" t="s">
        <v>247</v>
      </c>
      <c r="X6" s="8"/>
      <c r="Y6" s="740">
        <v>3.5</v>
      </c>
      <c r="Z6" s="740"/>
      <c r="AA6" s="740"/>
      <c r="AB6" s="333" t="s">
        <v>246</v>
      </c>
      <c r="AC6" s="333"/>
      <c r="AD6" s="333"/>
      <c r="AE6" s="576">
        <f>ROUND(T6*Y6,0)</f>
        <v>0</v>
      </c>
      <c r="AF6" s="576"/>
      <c r="AG6" s="576"/>
      <c r="AH6" s="576"/>
      <c r="AI6" s="576"/>
      <c r="AJ6" s="8" t="s">
        <v>136</v>
      </c>
      <c r="AK6" s="16"/>
      <c r="AL6" s="406" t="s">
        <v>141</v>
      </c>
      <c r="AM6" s="333"/>
      <c r="AN6" s="333"/>
      <c r="AO6" s="333"/>
      <c r="AP6" s="333"/>
      <c r="AQ6" s="333"/>
      <c r="AR6" s="334"/>
      <c r="AS6" s="738"/>
      <c r="AT6" s="739"/>
      <c r="AU6" s="739"/>
      <c r="AV6" s="739"/>
      <c r="AW6" s="205" t="s">
        <v>139</v>
      </c>
      <c r="AX6" s="185"/>
      <c r="AY6" s="332" t="s">
        <v>140</v>
      </c>
      <c r="AZ6" s="333"/>
      <c r="BA6" s="333"/>
      <c r="BB6" s="333"/>
      <c r="BC6" s="333"/>
      <c r="BD6" s="334"/>
      <c r="BE6" s="333">
        <f>AS6</f>
        <v>0</v>
      </c>
      <c r="BF6" s="333"/>
      <c r="BG6" s="333"/>
      <c r="BH6" s="8" t="s">
        <v>247</v>
      </c>
      <c r="BI6" s="8"/>
      <c r="BJ6" s="740">
        <v>3.5</v>
      </c>
      <c r="BK6" s="740"/>
      <c r="BL6" s="740"/>
      <c r="BM6" s="333" t="s">
        <v>246</v>
      </c>
      <c r="BN6" s="333"/>
      <c r="BO6" s="333"/>
      <c r="BP6" s="576">
        <f>ROUND(BE6*BJ6,0)</f>
        <v>0</v>
      </c>
      <c r="BQ6" s="576"/>
      <c r="BR6" s="576"/>
      <c r="BS6" s="576"/>
      <c r="BT6" s="576"/>
      <c r="BU6" s="8" t="s">
        <v>136</v>
      </c>
      <c r="BV6" s="16"/>
      <c r="BW6" s="406" t="s">
        <v>141</v>
      </c>
      <c r="BX6" s="333"/>
      <c r="BY6" s="333"/>
      <c r="BZ6" s="333"/>
      <c r="CA6" s="333"/>
      <c r="CB6" s="333"/>
      <c r="CC6" s="334"/>
      <c r="CD6" s="738"/>
      <c r="CE6" s="739"/>
      <c r="CF6" s="739"/>
      <c r="CG6" s="739"/>
      <c r="CH6" s="205" t="s">
        <v>139</v>
      </c>
      <c r="CI6" s="185"/>
      <c r="CJ6" s="332" t="s">
        <v>140</v>
      </c>
      <c r="CK6" s="333"/>
      <c r="CL6" s="333"/>
      <c r="CM6" s="333"/>
      <c r="CN6" s="333"/>
      <c r="CO6" s="334"/>
      <c r="CP6" s="333">
        <f>CD6</f>
        <v>0</v>
      </c>
      <c r="CQ6" s="333"/>
      <c r="CR6" s="333"/>
      <c r="CS6" s="8" t="s">
        <v>247</v>
      </c>
      <c r="CT6" s="8"/>
      <c r="CU6" s="740">
        <v>3.5</v>
      </c>
      <c r="CV6" s="740"/>
      <c r="CW6" s="740"/>
      <c r="CX6" s="333" t="s">
        <v>246</v>
      </c>
      <c r="CY6" s="333"/>
      <c r="CZ6" s="333"/>
      <c r="DA6" s="576">
        <f>ROUND(CP6*CU6,0)</f>
        <v>0</v>
      </c>
      <c r="DB6" s="576"/>
      <c r="DC6" s="576"/>
      <c r="DD6" s="576"/>
      <c r="DE6" s="576"/>
      <c r="DF6" s="8" t="s">
        <v>136</v>
      </c>
      <c r="DG6" s="16"/>
      <c r="DH6" s="222"/>
      <c r="DI6" s="222"/>
      <c r="DJ6" s="222"/>
      <c r="DK6" s="222"/>
      <c r="DL6" s="3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</row>
    <row r="7" spans="1:131" x14ac:dyDescent="0.15">
      <c r="A7" s="581" t="s">
        <v>137</v>
      </c>
      <c r="B7" s="541"/>
      <c r="C7" s="541"/>
      <c r="D7" s="541"/>
      <c r="E7" s="541"/>
      <c r="F7" s="541"/>
      <c r="G7" s="575"/>
      <c r="H7" s="582">
        <f>AE6</f>
        <v>0</v>
      </c>
      <c r="I7" s="576"/>
      <c r="J7" s="576"/>
      <c r="K7" s="119" t="s">
        <v>209</v>
      </c>
      <c r="L7" s="119"/>
      <c r="M7" s="576">
        <v>250</v>
      </c>
      <c r="N7" s="576"/>
      <c r="O7" s="576"/>
      <c r="P7" s="119" t="s">
        <v>261</v>
      </c>
      <c r="Q7" s="119"/>
      <c r="R7" s="119"/>
      <c r="S7" s="119"/>
      <c r="T7" s="119"/>
      <c r="U7" s="119"/>
      <c r="V7" s="119"/>
      <c r="W7" s="576">
        <f>ROUND(H7*M7*1.1,0)</f>
        <v>0</v>
      </c>
      <c r="X7" s="576"/>
      <c r="Y7" s="576"/>
      <c r="Z7" s="576"/>
      <c r="AA7" s="541" t="s">
        <v>262</v>
      </c>
      <c r="AB7" s="541"/>
      <c r="AC7" s="541"/>
      <c r="AD7" s="611">
        <f>ROUND(W7/1000,1)</f>
        <v>0</v>
      </c>
      <c r="AE7" s="611"/>
      <c r="AF7" s="611"/>
      <c r="AG7" s="611"/>
      <c r="AH7" s="611"/>
      <c r="AI7" s="119" t="s">
        <v>263</v>
      </c>
      <c r="AJ7" s="119"/>
      <c r="AK7" s="120"/>
      <c r="AL7" s="581" t="s">
        <v>137</v>
      </c>
      <c r="AM7" s="541"/>
      <c r="AN7" s="541"/>
      <c r="AO7" s="541"/>
      <c r="AP7" s="541"/>
      <c r="AQ7" s="541"/>
      <c r="AR7" s="575"/>
      <c r="AS7" s="582">
        <f>BP6</f>
        <v>0</v>
      </c>
      <c r="AT7" s="576"/>
      <c r="AU7" s="576"/>
      <c r="AV7" s="119" t="s">
        <v>209</v>
      </c>
      <c r="AW7" s="119"/>
      <c r="AX7" s="576">
        <v>250</v>
      </c>
      <c r="AY7" s="576"/>
      <c r="AZ7" s="576"/>
      <c r="BA7" s="119" t="s">
        <v>261</v>
      </c>
      <c r="BB7" s="119"/>
      <c r="BC7" s="119"/>
      <c r="BD7" s="119"/>
      <c r="BE7" s="119"/>
      <c r="BF7" s="119"/>
      <c r="BG7" s="119"/>
      <c r="BH7" s="576">
        <f>ROUND(AS7*AX7*1.1,0)</f>
        <v>0</v>
      </c>
      <c r="BI7" s="576"/>
      <c r="BJ7" s="576"/>
      <c r="BK7" s="576"/>
      <c r="BL7" s="541" t="s">
        <v>262</v>
      </c>
      <c r="BM7" s="541"/>
      <c r="BN7" s="541"/>
      <c r="BO7" s="611">
        <f>ROUND(BH7/1000,1)</f>
        <v>0</v>
      </c>
      <c r="BP7" s="611"/>
      <c r="BQ7" s="611"/>
      <c r="BR7" s="611"/>
      <c r="BS7" s="611"/>
      <c r="BT7" s="119" t="s">
        <v>263</v>
      </c>
      <c r="BU7" s="119"/>
      <c r="BV7" s="120"/>
      <c r="BW7" s="581" t="s">
        <v>137</v>
      </c>
      <c r="BX7" s="541"/>
      <c r="BY7" s="541"/>
      <c r="BZ7" s="541"/>
      <c r="CA7" s="541"/>
      <c r="CB7" s="541"/>
      <c r="CC7" s="575"/>
      <c r="CD7" s="582">
        <f>DA6</f>
        <v>0</v>
      </c>
      <c r="CE7" s="576"/>
      <c r="CF7" s="576"/>
      <c r="CG7" s="119" t="s">
        <v>209</v>
      </c>
      <c r="CH7" s="119"/>
      <c r="CI7" s="576">
        <v>250</v>
      </c>
      <c r="CJ7" s="576"/>
      <c r="CK7" s="576"/>
      <c r="CL7" s="119" t="s">
        <v>261</v>
      </c>
      <c r="CM7" s="119"/>
      <c r="CN7" s="119"/>
      <c r="CO7" s="119"/>
      <c r="CP7" s="119"/>
      <c r="CQ7" s="119"/>
      <c r="CR7" s="119"/>
      <c r="CS7" s="576">
        <f>ROUND(CD7*CI7*1.1,0)</f>
        <v>0</v>
      </c>
      <c r="CT7" s="576"/>
      <c r="CU7" s="576"/>
      <c r="CV7" s="576"/>
      <c r="CW7" s="541" t="s">
        <v>262</v>
      </c>
      <c r="CX7" s="541"/>
      <c r="CY7" s="541"/>
      <c r="CZ7" s="611">
        <f>ROUND(CS7/1000,1)</f>
        <v>0</v>
      </c>
      <c r="DA7" s="611"/>
      <c r="DB7" s="611"/>
      <c r="DC7" s="611"/>
      <c r="DD7" s="611"/>
      <c r="DE7" s="119" t="s">
        <v>263</v>
      </c>
      <c r="DF7" s="119"/>
      <c r="DG7" s="120"/>
      <c r="DH7" s="222"/>
      <c r="DI7" s="222"/>
      <c r="DJ7" s="222"/>
      <c r="DK7" s="222"/>
      <c r="DL7" s="3"/>
      <c r="DM7" s="102"/>
      <c r="DN7" s="102"/>
      <c r="DO7" s="102"/>
      <c r="DP7" s="102"/>
      <c r="DQ7" s="102"/>
      <c r="DR7" s="102"/>
      <c r="DS7" s="102"/>
      <c r="DT7" s="102"/>
      <c r="DU7" s="102"/>
      <c r="DV7" s="102"/>
      <c r="DW7" s="102"/>
      <c r="DX7" s="102"/>
      <c r="DY7" s="102"/>
      <c r="DZ7" s="102"/>
      <c r="EA7" s="102"/>
    </row>
    <row r="8" spans="1:131" x14ac:dyDescent="0.15">
      <c r="A8" s="406" t="s">
        <v>134</v>
      </c>
      <c r="B8" s="333"/>
      <c r="C8" s="333"/>
      <c r="D8" s="333"/>
      <c r="E8" s="333"/>
      <c r="F8" s="333"/>
      <c r="G8" s="334"/>
      <c r="H8" s="8" t="s">
        <v>133</v>
      </c>
      <c r="I8" s="741">
        <f>AD7</f>
        <v>0</v>
      </c>
      <c r="J8" s="741"/>
      <c r="K8" s="741"/>
      <c r="L8" s="741"/>
      <c r="M8" s="741"/>
      <c r="N8" s="741"/>
      <c r="O8" s="119" t="s">
        <v>264</v>
      </c>
      <c r="P8" s="203"/>
      <c r="Q8" s="119"/>
      <c r="R8" s="119"/>
      <c r="S8" s="8"/>
      <c r="T8" s="8"/>
      <c r="U8" s="8"/>
      <c r="V8" s="8"/>
      <c r="W8" s="102"/>
      <c r="X8" s="102"/>
      <c r="Y8" s="742"/>
      <c r="Z8" s="742"/>
      <c r="AA8" s="742"/>
      <c r="AB8" s="742"/>
      <c r="AC8" s="102" t="s">
        <v>244</v>
      </c>
      <c r="AD8" s="611">
        <f>ROUND((I8/24)*3.3+Y8,1)</f>
        <v>0</v>
      </c>
      <c r="AE8" s="611"/>
      <c r="AF8" s="611"/>
      <c r="AG8" s="611"/>
      <c r="AH8" s="611"/>
      <c r="AI8" s="192" t="s">
        <v>132</v>
      </c>
      <c r="AJ8" s="119"/>
      <c r="AK8" s="120"/>
      <c r="AL8" s="406" t="s">
        <v>134</v>
      </c>
      <c r="AM8" s="333"/>
      <c r="AN8" s="333"/>
      <c r="AO8" s="333"/>
      <c r="AP8" s="333"/>
      <c r="AQ8" s="333"/>
      <c r="AR8" s="334"/>
      <c r="AS8" s="8" t="s">
        <v>133</v>
      </c>
      <c r="AT8" s="741">
        <f>BO7</f>
        <v>0</v>
      </c>
      <c r="AU8" s="741"/>
      <c r="AV8" s="741"/>
      <c r="AW8" s="741"/>
      <c r="AX8" s="741"/>
      <c r="AY8" s="741"/>
      <c r="AZ8" s="119" t="s">
        <v>264</v>
      </c>
      <c r="BA8" s="203"/>
      <c r="BB8" s="119"/>
      <c r="BC8" s="119"/>
      <c r="BD8" s="8"/>
      <c r="BE8" s="8"/>
      <c r="BF8" s="8"/>
      <c r="BG8" s="8"/>
      <c r="BH8" s="102"/>
      <c r="BI8" s="102"/>
      <c r="BJ8" s="742"/>
      <c r="BK8" s="742"/>
      <c r="BL8" s="742"/>
      <c r="BM8" s="742"/>
      <c r="BN8" s="102" t="s">
        <v>23</v>
      </c>
      <c r="BO8" s="611">
        <f>ROUND((AT8/24)*3.3+BJ8,1)</f>
        <v>0</v>
      </c>
      <c r="BP8" s="611"/>
      <c r="BQ8" s="611"/>
      <c r="BR8" s="611"/>
      <c r="BS8" s="611"/>
      <c r="BT8" s="192" t="s">
        <v>132</v>
      </c>
      <c r="BU8" s="119"/>
      <c r="BV8" s="120"/>
      <c r="BW8" s="406" t="s">
        <v>134</v>
      </c>
      <c r="BX8" s="333"/>
      <c r="BY8" s="333"/>
      <c r="BZ8" s="333"/>
      <c r="CA8" s="333"/>
      <c r="CB8" s="333"/>
      <c r="CC8" s="334"/>
      <c r="CD8" s="8" t="s">
        <v>133</v>
      </c>
      <c r="CE8" s="741">
        <f>CZ7</f>
        <v>0</v>
      </c>
      <c r="CF8" s="741"/>
      <c r="CG8" s="741"/>
      <c r="CH8" s="741"/>
      <c r="CI8" s="741"/>
      <c r="CJ8" s="741"/>
      <c r="CK8" s="119" t="s">
        <v>264</v>
      </c>
      <c r="CL8" s="203"/>
      <c r="CM8" s="119"/>
      <c r="CN8" s="119"/>
      <c r="CO8" s="8"/>
      <c r="CP8" s="8"/>
      <c r="CQ8" s="8"/>
      <c r="CR8" s="8"/>
      <c r="CS8" s="102"/>
      <c r="CT8" s="102"/>
      <c r="CU8" s="742"/>
      <c r="CV8" s="742"/>
      <c r="CW8" s="742"/>
      <c r="CX8" s="742"/>
      <c r="CY8" s="102" t="s">
        <v>23</v>
      </c>
      <c r="CZ8" s="611">
        <f>ROUND((CE8/24)*3.3+CU8,1)</f>
        <v>0</v>
      </c>
      <c r="DA8" s="611"/>
      <c r="DB8" s="611"/>
      <c r="DC8" s="611"/>
      <c r="DD8" s="611"/>
      <c r="DE8" s="192" t="s">
        <v>132</v>
      </c>
      <c r="DF8" s="119"/>
      <c r="DG8" s="120"/>
      <c r="DH8" s="222"/>
      <c r="DI8" s="222"/>
      <c r="DJ8" s="222"/>
      <c r="DK8" s="222"/>
      <c r="DL8" s="3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86" t="s">
        <v>203</v>
      </c>
      <c r="DX8" s="86" t="s">
        <v>91</v>
      </c>
      <c r="DY8" s="86" t="s">
        <v>204</v>
      </c>
      <c r="DZ8" s="86" t="s">
        <v>89</v>
      </c>
      <c r="EA8" s="86" t="s">
        <v>90</v>
      </c>
    </row>
    <row r="9" spans="1:131" x14ac:dyDescent="0.15">
      <c r="A9" s="581" t="s">
        <v>131</v>
      </c>
      <c r="B9" s="541"/>
      <c r="C9" s="541"/>
      <c r="D9" s="541"/>
      <c r="E9" s="541"/>
      <c r="F9" s="541"/>
      <c r="G9" s="541"/>
      <c r="H9" s="541"/>
      <c r="I9" s="541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733"/>
      <c r="AL9" s="581" t="s">
        <v>131</v>
      </c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1"/>
      <c r="BD9" s="541"/>
      <c r="BE9" s="541"/>
      <c r="BF9" s="541"/>
      <c r="BG9" s="541"/>
      <c r="BH9" s="541"/>
      <c r="BI9" s="541"/>
      <c r="BJ9" s="541"/>
      <c r="BK9" s="541"/>
      <c r="BL9" s="541"/>
      <c r="BM9" s="541"/>
      <c r="BN9" s="541"/>
      <c r="BO9" s="541"/>
      <c r="BP9" s="541"/>
      <c r="BQ9" s="541"/>
      <c r="BR9" s="541"/>
      <c r="BS9" s="541"/>
      <c r="BT9" s="541"/>
      <c r="BU9" s="541"/>
      <c r="BV9" s="733"/>
      <c r="BW9" s="581" t="s">
        <v>131</v>
      </c>
      <c r="BX9" s="541"/>
      <c r="BY9" s="541"/>
      <c r="BZ9" s="541"/>
      <c r="CA9" s="541"/>
      <c r="CB9" s="541"/>
      <c r="CC9" s="541"/>
      <c r="CD9" s="541"/>
      <c r="CE9" s="541"/>
      <c r="CF9" s="541"/>
      <c r="CG9" s="541"/>
      <c r="CH9" s="541"/>
      <c r="CI9" s="541"/>
      <c r="CJ9" s="541"/>
      <c r="CK9" s="541"/>
      <c r="CL9" s="541"/>
      <c r="CM9" s="541"/>
      <c r="CN9" s="541"/>
      <c r="CO9" s="541"/>
      <c r="CP9" s="541"/>
      <c r="CQ9" s="541"/>
      <c r="CR9" s="541"/>
      <c r="CS9" s="541"/>
      <c r="CT9" s="541"/>
      <c r="CU9" s="541"/>
      <c r="CV9" s="541"/>
      <c r="CW9" s="541"/>
      <c r="CX9" s="541"/>
      <c r="CY9" s="541"/>
      <c r="CZ9" s="541"/>
      <c r="DA9" s="541"/>
      <c r="DB9" s="541"/>
      <c r="DC9" s="541"/>
      <c r="DD9" s="541"/>
      <c r="DE9" s="541"/>
      <c r="DF9" s="541"/>
      <c r="DG9" s="733"/>
      <c r="DH9" s="198"/>
      <c r="DI9" s="198"/>
      <c r="DJ9" s="198"/>
      <c r="DK9" s="198"/>
      <c r="DL9" s="3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272"/>
      <c r="DX9" s="273"/>
      <c r="DY9" s="273"/>
      <c r="DZ9" s="273"/>
      <c r="EA9" s="273"/>
    </row>
    <row r="10" spans="1:131" ht="16.5" x14ac:dyDescent="0.15">
      <c r="A10" s="389" t="s">
        <v>130</v>
      </c>
      <c r="B10" s="356"/>
      <c r="C10" s="356"/>
      <c r="D10" s="356"/>
      <c r="E10" s="10" t="s">
        <v>129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758"/>
      <c r="S10" s="758"/>
      <c r="T10" s="758"/>
      <c r="U10" s="758"/>
      <c r="V10" s="758"/>
      <c r="W10" s="758"/>
      <c r="X10" s="758"/>
      <c r="Y10" s="758"/>
      <c r="Z10" s="758"/>
      <c r="AA10" s="758"/>
      <c r="AB10" s="758"/>
      <c r="AC10" s="758"/>
      <c r="AD10" s="758"/>
      <c r="AE10" s="758"/>
      <c r="AF10" s="758"/>
      <c r="AG10" s="758"/>
      <c r="AH10" s="758"/>
      <c r="AI10" s="758"/>
      <c r="AJ10" s="758"/>
      <c r="AK10" s="759"/>
      <c r="AL10" s="389" t="s">
        <v>130</v>
      </c>
      <c r="AM10" s="356"/>
      <c r="AN10" s="356"/>
      <c r="AO10" s="356"/>
      <c r="AP10" s="10" t="s">
        <v>129</v>
      </c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758"/>
      <c r="BD10" s="758"/>
      <c r="BE10" s="758"/>
      <c r="BF10" s="758"/>
      <c r="BG10" s="758"/>
      <c r="BH10" s="758"/>
      <c r="BI10" s="758"/>
      <c r="BJ10" s="758"/>
      <c r="BK10" s="758"/>
      <c r="BL10" s="758"/>
      <c r="BM10" s="758"/>
      <c r="BN10" s="758"/>
      <c r="BO10" s="758"/>
      <c r="BP10" s="758"/>
      <c r="BQ10" s="758"/>
      <c r="BR10" s="758"/>
      <c r="BS10" s="758"/>
      <c r="BT10" s="758"/>
      <c r="BU10" s="758"/>
      <c r="BV10" s="759"/>
      <c r="BW10" s="389" t="s">
        <v>130</v>
      </c>
      <c r="BX10" s="356"/>
      <c r="BY10" s="356"/>
      <c r="BZ10" s="356"/>
      <c r="CA10" s="10" t="s">
        <v>129</v>
      </c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758"/>
      <c r="CO10" s="758"/>
      <c r="CP10" s="758"/>
      <c r="CQ10" s="758"/>
      <c r="CR10" s="758"/>
      <c r="CS10" s="758"/>
      <c r="CT10" s="758"/>
      <c r="CU10" s="758"/>
      <c r="CV10" s="758"/>
      <c r="CW10" s="758"/>
      <c r="CX10" s="758"/>
      <c r="CY10" s="758"/>
      <c r="CZ10" s="758"/>
      <c r="DA10" s="758"/>
      <c r="DB10" s="758"/>
      <c r="DC10" s="758"/>
      <c r="DD10" s="758"/>
      <c r="DE10" s="758"/>
      <c r="DF10" s="758"/>
      <c r="DG10" s="759"/>
      <c r="DH10" s="222"/>
      <c r="DI10" s="222"/>
      <c r="DJ10" s="222"/>
      <c r="DK10" s="222"/>
      <c r="DL10" s="3"/>
      <c r="DM10" s="102"/>
      <c r="DN10" s="106"/>
      <c r="DO10" s="222"/>
      <c r="DP10" s="222"/>
      <c r="DQ10" s="222"/>
      <c r="DR10" s="222"/>
      <c r="DS10" s="102"/>
      <c r="DT10" s="102"/>
      <c r="DU10" s="102"/>
      <c r="DV10" s="102"/>
      <c r="DW10" s="105">
        <v>1</v>
      </c>
      <c r="DX10" s="104">
        <v>1</v>
      </c>
      <c r="DY10" s="102">
        <v>50</v>
      </c>
      <c r="DZ10" s="293">
        <v>0.5</v>
      </c>
      <c r="EA10" s="102">
        <v>0.5</v>
      </c>
    </row>
    <row r="11" spans="1:131" ht="17.25" x14ac:dyDescent="0.15">
      <c r="A11" s="389"/>
      <c r="B11" s="356"/>
      <c r="C11" s="356"/>
      <c r="D11" s="356"/>
      <c r="E11" s="221" t="s">
        <v>102</v>
      </c>
      <c r="F11" s="734">
        <v>34</v>
      </c>
      <c r="G11" s="734"/>
      <c r="H11" s="734"/>
      <c r="I11" s="356" t="s">
        <v>265</v>
      </c>
      <c r="J11" s="356"/>
      <c r="K11" s="356"/>
      <c r="L11" s="356">
        <f>H6</f>
        <v>0</v>
      </c>
      <c r="M11" s="356"/>
      <c r="N11" s="356"/>
      <c r="O11" s="578">
        <v>0.7</v>
      </c>
      <c r="P11" s="578"/>
      <c r="Q11" s="222" t="s">
        <v>103</v>
      </c>
      <c r="R11" s="735"/>
      <c r="S11" s="735"/>
      <c r="T11" s="735"/>
      <c r="U11" s="735"/>
      <c r="V11" s="735"/>
      <c r="W11" s="735"/>
      <c r="X11" s="356" t="s">
        <v>266</v>
      </c>
      <c r="Y11" s="356"/>
      <c r="Z11" s="356"/>
      <c r="AB11" s="222" t="s">
        <v>102</v>
      </c>
      <c r="AC11" s="535">
        <f>ROUND(F11*POWER(L11,0.7)+R11,1)</f>
        <v>0</v>
      </c>
      <c r="AD11" s="535"/>
      <c r="AE11" s="535"/>
      <c r="AF11" s="535"/>
      <c r="AG11" s="535"/>
      <c r="AH11" s="554" t="s">
        <v>266</v>
      </c>
      <c r="AI11" s="554"/>
      <c r="AJ11" s="554"/>
      <c r="AK11" s="7"/>
      <c r="AL11" s="389"/>
      <c r="AM11" s="356"/>
      <c r="AN11" s="356"/>
      <c r="AO11" s="356"/>
      <c r="AP11" s="221" t="s">
        <v>102</v>
      </c>
      <c r="AQ11" s="734">
        <v>34</v>
      </c>
      <c r="AR11" s="734"/>
      <c r="AS11" s="734"/>
      <c r="AT11" s="356" t="s">
        <v>265</v>
      </c>
      <c r="AU11" s="356"/>
      <c r="AV11" s="356"/>
      <c r="AW11" s="356">
        <f>AS6</f>
        <v>0</v>
      </c>
      <c r="AX11" s="356"/>
      <c r="AY11" s="356"/>
      <c r="AZ11" s="578">
        <v>0.7</v>
      </c>
      <c r="BA11" s="578"/>
      <c r="BB11" s="222" t="s">
        <v>24</v>
      </c>
      <c r="BC11" s="735"/>
      <c r="BD11" s="735"/>
      <c r="BE11" s="735"/>
      <c r="BF11" s="735"/>
      <c r="BG11" s="735"/>
      <c r="BH11" s="735"/>
      <c r="BI11" s="356" t="s">
        <v>266</v>
      </c>
      <c r="BJ11" s="356"/>
      <c r="BK11" s="356"/>
      <c r="BM11" s="222" t="s">
        <v>102</v>
      </c>
      <c r="BN11" s="535">
        <f>ROUND(AQ11*POWER(AW11,0.7)+BC11,1)</f>
        <v>0</v>
      </c>
      <c r="BO11" s="535"/>
      <c r="BP11" s="535"/>
      <c r="BQ11" s="535"/>
      <c r="BR11" s="535"/>
      <c r="BS11" s="554" t="s">
        <v>266</v>
      </c>
      <c r="BT11" s="554"/>
      <c r="BU11" s="554"/>
      <c r="BV11" s="7"/>
      <c r="BW11" s="389"/>
      <c r="BX11" s="356"/>
      <c r="BY11" s="356"/>
      <c r="BZ11" s="356"/>
      <c r="CA11" s="221" t="s">
        <v>102</v>
      </c>
      <c r="CB11" s="734">
        <v>34</v>
      </c>
      <c r="CC11" s="734"/>
      <c r="CD11" s="734"/>
      <c r="CE11" s="356" t="s">
        <v>265</v>
      </c>
      <c r="CF11" s="356"/>
      <c r="CG11" s="356"/>
      <c r="CH11" s="356">
        <f>CD6</f>
        <v>0</v>
      </c>
      <c r="CI11" s="356"/>
      <c r="CJ11" s="356"/>
      <c r="CK11" s="578">
        <v>0.7</v>
      </c>
      <c r="CL11" s="578"/>
      <c r="CM11" s="222" t="s">
        <v>24</v>
      </c>
      <c r="CN11" s="735"/>
      <c r="CO11" s="735"/>
      <c r="CP11" s="735"/>
      <c r="CQ11" s="735"/>
      <c r="CR11" s="735"/>
      <c r="CS11" s="735"/>
      <c r="CT11" s="356" t="s">
        <v>266</v>
      </c>
      <c r="CU11" s="356"/>
      <c r="CV11" s="356"/>
      <c r="CX11" s="222" t="s">
        <v>102</v>
      </c>
      <c r="CY11" s="535">
        <f>ROUND(CB11*POWER(CH11,0.7)+CN11,1)</f>
        <v>0</v>
      </c>
      <c r="CZ11" s="535"/>
      <c r="DA11" s="535"/>
      <c r="DB11" s="535"/>
      <c r="DC11" s="535"/>
      <c r="DD11" s="554" t="s">
        <v>266</v>
      </c>
      <c r="DE11" s="554"/>
      <c r="DF11" s="554"/>
      <c r="DG11" s="7"/>
      <c r="DH11" s="222"/>
      <c r="DI11" s="222"/>
      <c r="DJ11" s="222"/>
      <c r="DK11" s="222"/>
      <c r="DV11" s="102"/>
      <c r="DW11" s="105">
        <v>2</v>
      </c>
      <c r="DX11" s="104">
        <v>1.5</v>
      </c>
      <c r="DY11" s="102">
        <v>49.9</v>
      </c>
      <c r="DZ11" s="293">
        <v>0.49</v>
      </c>
      <c r="EA11" s="102">
        <v>0.6</v>
      </c>
    </row>
    <row r="12" spans="1:131" ht="15.75" customHeight="1" x14ac:dyDescent="0.15">
      <c r="A12" s="406"/>
      <c r="B12" s="333"/>
      <c r="C12" s="333"/>
      <c r="D12" s="333"/>
      <c r="E12" s="650" t="str">
        <f>IF(AND(AC4=0,OR(BN4&gt;0,CY4&gt;0)),"右ページの口径を空欄とし、このページを優先使用ください。","")</f>
        <v/>
      </c>
      <c r="F12" s="651"/>
      <c r="G12" s="651"/>
      <c r="H12" s="651"/>
      <c r="I12" s="651"/>
      <c r="J12" s="651"/>
      <c r="K12" s="651"/>
      <c r="L12" s="651"/>
      <c r="M12" s="651"/>
      <c r="N12" s="651"/>
      <c r="O12" s="651"/>
      <c r="P12" s="651"/>
      <c r="Q12" s="651"/>
      <c r="R12" s="651"/>
      <c r="S12" s="651"/>
      <c r="T12" s="651"/>
      <c r="U12" s="651"/>
      <c r="V12" s="651"/>
      <c r="W12" s="651"/>
      <c r="X12" s="651"/>
      <c r="Y12" s="651"/>
      <c r="Z12" s="651"/>
      <c r="AA12" s="651"/>
      <c r="AB12" s="8" t="s">
        <v>102</v>
      </c>
      <c r="AC12" s="602">
        <f>ROUND((AC11/1000)/60,6)</f>
        <v>0</v>
      </c>
      <c r="AD12" s="602"/>
      <c r="AE12" s="602"/>
      <c r="AF12" s="602"/>
      <c r="AG12" s="602"/>
      <c r="AH12" s="275" t="s">
        <v>267</v>
      </c>
      <c r="AI12" s="138"/>
      <c r="AJ12" s="8"/>
      <c r="AK12" s="16"/>
      <c r="AL12" s="406"/>
      <c r="AM12" s="333"/>
      <c r="AN12" s="333"/>
      <c r="AO12" s="333"/>
      <c r="AP12" s="736" t="str">
        <f>IF(AND(BN4&gt;0,AC4=0),"このページの口径を空欄とし、左ページを優先して使用ください。",IF(AND(CY4&gt;0,BN4=0),"右ページの口径を空欄とし、このページを優先して使用ください。",""))</f>
        <v/>
      </c>
      <c r="AQ12" s="737"/>
      <c r="AR12" s="737"/>
      <c r="AS12" s="737"/>
      <c r="AT12" s="737"/>
      <c r="AU12" s="737"/>
      <c r="AV12" s="737"/>
      <c r="AW12" s="737"/>
      <c r="AX12" s="737"/>
      <c r="AY12" s="737"/>
      <c r="AZ12" s="737"/>
      <c r="BA12" s="737"/>
      <c r="BB12" s="737"/>
      <c r="BC12" s="737"/>
      <c r="BD12" s="737"/>
      <c r="BE12" s="737"/>
      <c r="BF12" s="737"/>
      <c r="BG12" s="737"/>
      <c r="BH12" s="737"/>
      <c r="BI12" s="737"/>
      <c r="BJ12" s="737"/>
      <c r="BK12" s="737"/>
      <c r="BL12" s="737"/>
      <c r="BM12" s="8" t="s">
        <v>102</v>
      </c>
      <c r="BN12" s="602">
        <f>ROUND((BN11/1000)/60,6)</f>
        <v>0</v>
      </c>
      <c r="BO12" s="602"/>
      <c r="BP12" s="602"/>
      <c r="BQ12" s="602"/>
      <c r="BR12" s="602"/>
      <c r="BS12" s="275" t="s">
        <v>267</v>
      </c>
      <c r="BT12" s="138"/>
      <c r="BU12" s="8"/>
      <c r="BV12" s="16"/>
      <c r="BW12" s="406"/>
      <c r="BX12" s="333"/>
      <c r="BY12" s="333"/>
      <c r="BZ12" s="333"/>
      <c r="CA12" s="736" t="str">
        <f>IF(AND(CY4&gt;0,OR(AC4=0,BN4=0)),"このページの口径を空欄とし、左ページを優先して使用ください。","")</f>
        <v/>
      </c>
      <c r="CB12" s="737"/>
      <c r="CC12" s="737"/>
      <c r="CD12" s="737"/>
      <c r="CE12" s="737"/>
      <c r="CF12" s="737"/>
      <c r="CG12" s="737"/>
      <c r="CH12" s="737"/>
      <c r="CI12" s="737"/>
      <c r="CJ12" s="737"/>
      <c r="CK12" s="737"/>
      <c r="CL12" s="737"/>
      <c r="CM12" s="737"/>
      <c r="CN12" s="737"/>
      <c r="CO12" s="737"/>
      <c r="CP12" s="737"/>
      <c r="CQ12" s="737"/>
      <c r="CR12" s="737"/>
      <c r="CS12" s="737"/>
      <c r="CT12" s="737"/>
      <c r="CU12" s="737"/>
      <c r="CV12" s="737"/>
      <c r="CW12" s="737"/>
      <c r="CX12" s="8" t="s">
        <v>102</v>
      </c>
      <c r="CY12" s="602">
        <f>ROUND((CY11/1000)/60,6)</f>
        <v>0</v>
      </c>
      <c r="CZ12" s="602"/>
      <c r="DA12" s="602"/>
      <c r="DB12" s="602"/>
      <c r="DC12" s="602"/>
      <c r="DD12" s="275" t="s">
        <v>267</v>
      </c>
      <c r="DE12" s="8"/>
      <c r="DF12" s="8"/>
      <c r="DG12" s="16"/>
      <c r="DH12" s="222"/>
      <c r="DI12" s="222"/>
      <c r="DJ12" s="222"/>
      <c r="DK12" s="222"/>
      <c r="DV12" s="102"/>
      <c r="DW12" s="105">
        <v>3</v>
      </c>
      <c r="DX12" s="104">
        <v>2</v>
      </c>
      <c r="DY12" s="102">
        <v>49.8</v>
      </c>
      <c r="DZ12" s="293">
        <v>0.48</v>
      </c>
      <c r="EA12" s="102">
        <v>0.7</v>
      </c>
    </row>
    <row r="13" spans="1:131" ht="17.25" customHeight="1" x14ac:dyDescent="0.15">
      <c r="A13" s="610" t="s">
        <v>127</v>
      </c>
      <c r="B13" s="351"/>
      <c r="C13" s="351"/>
      <c r="D13" s="352"/>
      <c r="E13" s="10" t="s">
        <v>241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183"/>
      <c r="S13" s="182" t="s">
        <v>239</v>
      </c>
      <c r="T13" s="102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06"/>
      <c r="AK13" s="107"/>
      <c r="AL13" s="610" t="s">
        <v>127</v>
      </c>
      <c r="AM13" s="351"/>
      <c r="AN13" s="351"/>
      <c r="AO13" s="352"/>
      <c r="AP13" s="10" t="s">
        <v>241</v>
      </c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183"/>
      <c r="BD13" s="182" t="s">
        <v>239</v>
      </c>
      <c r="BE13" s="102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06"/>
      <c r="BV13" s="107"/>
      <c r="BW13" s="610" t="s">
        <v>127</v>
      </c>
      <c r="BX13" s="351"/>
      <c r="BY13" s="351"/>
      <c r="BZ13" s="352"/>
      <c r="CA13" s="10" t="s">
        <v>241</v>
      </c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183"/>
      <c r="CO13" s="182" t="s">
        <v>239</v>
      </c>
      <c r="CP13" s="102"/>
      <c r="CQ13" s="184"/>
      <c r="CR13" s="184"/>
      <c r="CS13" s="184"/>
      <c r="CT13" s="184"/>
      <c r="CU13" s="184"/>
      <c r="CV13" s="184"/>
      <c r="CW13" s="184"/>
      <c r="CX13" s="184"/>
      <c r="CY13" s="184"/>
      <c r="CZ13" s="184"/>
      <c r="DA13" s="184"/>
      <c r="DB13" s="184"/>
      <c r="DC13" s="184"/>
      <c r="DD13" s="184"/>
      <c r="DE13" s="184"/>
      <c r="DF13" s="106"/>
      <c r="DG13" s="107"/>
      <c r="DH13" s="106"/>
      <c r="DI13" s="106"/>
      <c r="DJ13" s="106"/>
      <c r="DK13" s="106"/>
      <c r="DL13" s="222"/>
      <c r="DM13" s="3"/>
      <c r="DN13" s="215"/>
      <c r="DO13" s="222"/>
      <c r="DP13" s="102"/>
      <c r="DQ13" s="102"/>
      <c r="DR13" s="106"/>
      <c r="DS13" s="102"/>
      <c r="DT13" s="102"/>
      <c r="DU13" s="102"/>
      <c r="DV13" s="102"/>
      <c r="DW13" s="105">
        <v>4</v>
      </c>
      <c r="DX13" s="104">
        <v>2.5</v>
      </c>
      <c r="DY13" s="102">
        <v>49.699999999999996</v>
      </c>
      <c r="DZ13" s="293">
        <v>0.47</v>
      </c>
      <c r="EA13" s="102">
        <v>0.8</v>
      </c>
    </row>
    <row r="14" spans="1:131" ht="12" customHeight="1" x14ac:dyDescent="0.15">
      <c r="A14" s="389"/>
      <c r="B14" s="356"/>
      <c r="C14" s="356"/>
      <c r="D14" s="390"/>
      <c r="E14" s="743" t="s">
        <v>238</v>
      </c>
      <c r="F14" s="744"/>
      <c r="G14" s="747">
        <v>20</v>
      </c>
      <c r="H14" s="747"/>
      <c r="I14" s="715">
        <v>2.63</v>
      </c>
      <c r="J14" s="715"/>
      <c r="K14" s="356" t="s">
        <v>234</v>
      </c>
      <c r="L14" s="441">
        <f>H6</f>
        <v>0</v>
      </c>
      <c r="M14" s="386"/>
      <c r="N14" s="386"/>
      <c r="O14" s="356" t="s">
        <v>235</v>
      </c>
      <c r="P14" s="750"/>
      <c r="Q14" s="750"/>
      <c r="R14" s="715">
        <v>2.63</v>
      </c>
      <c r="S14" s="715"/>
      <c r="T14" s="356" t="s">
        <v>234</v>
      </c>
      <c r="U14" s="371"/>
      <c r="V14" s="752"/>
      <c r="W14" s="752"/>
      <c r="X14" s="716" t="s">
        <v>236</v>
      </c>
      <c r="Y14" s="715">
        <v>0.38</v>
      </c>
      <c r="Z14" s="715"/>
      <c r="AA14" s="716" t="s">
        <v>237</v>
      </c>
      <c r="AB14" s="716">
        <f>ROUND(POWER((POWER(G14,2.63)*L14+POWER(P14,2.63)*U14),0.38),0)</f>
        <v>0</v>
      </c>
      <c r="AC14" s="716"/>
      <c r="AD14" s="716"/>
      <c r="AE14" s="356" t="s">
        <v>192</v>
      </c>
      <c r="AF14" s="718">
        <f>AC4</f>
        <v>0</v>
      </c>
      <c r="AG14" s="718"/>
      <c r="AH14" s="718"/>
      <c r="AI14" s="718"/>
      <c r="AJ14" s="106"/>
      <c r="AK14" s="107"/>
      <c r="AL14" s="389"/>
      <c r="AM14" s="356"/>
      <c r="AN14" s="356"/>
      <c r="AO14" s="390"/>
      <c r="AP14" s="743" t="s">
        <v>238</v>
      </c>
      <c r="AQ14" s="744"/>
      <c r="AR14" s="747">
        <v>20</v>
      </c>
      <c r="AS14" s="747"/>
      <c r="AT14" s="715">
        <v>2.63</v>
      </c>
      <c r="AU14" s="715"/>
      <c r="AV14" s="356" t="s">
        <v>33</v>
      </c>
      <c r="AW14" s="441">
        <f>AS6</f>
        <v>0</v>
      </c>
      <c r="AX14" s="386"/>
      <c r="AY14" s="386"/>
      <c r="AZ14" s="356" t="s">
        <v>24</v>
      </c>
      <c r="BA14" s="750"/>
      <c r="BB14" s="750"/>
      <c r="BC14" s="715">
        <v>2.63</v>
      </c>
      <c r="BD14" s="715"/>
      <c r="BE14" s="356" t="s">
        <v>33</v>
      </c>
      <c r="BF14" s="371"/>
      <c r="BG14" s="752"/>
      <c r="BH14" s="752"/>
      <c r="BI14" s="716" t="s">
        <v>48</v>
      </c>
      <c r="BJ14" s="715">
        <v>0.38</v>
      </c>
      <c r="BK14" s="715"/>
      <c r="BL14" s="716" t="s">
        <v>23</v>
      </c>
      <c r="BM14" s="716">
        <f>ROUND(POWER((POWER(AR14,2.63)*AW14+POWER(BA14,2.63)*BF14),0.38),0)</f>
        <v>0</v>
      </c>
      <c r="BN14" s="716"/>
      <c r="BO14" s="716"/>
      <c r="BP14" s="356" t="s">
        <v>192</v>
      </c>
      <c r="BQ14" s="718">
        <f>BN4</f>
        <v>0</v>
      </c>
      <c r="BR14" s="718"/>
      <c r="BS14" s="718"/>
      <c r="BT14" s="718"/>
      <c r="BU14" s="106"/>
      <c r="BV14" s="107"/>
      <c r="BW14" s="389"/>
      <c r="BX14" s="356"/>
      <c r="BY14" s="356"/>
      <c r="BZ14" s="390"/>
      <c r="CA14" s="743" t="s">
        <v>238</v>
      </c>
      <c r="CB14" s="744"/>
      <c r="CC14" s="747">
        <v>20</v>
      </c>
      <c r="CD14" s="747"/>
      <c r="CE14" s="715">
        <v>2.63</v>
      </c>
      <c r="CF14" s="715"/>
      <c r="CG14" s="356" t="s">
        <v>33</v>
      </c>
      <c r="CH14" s="441">
        <f>CD6</f>
        <v>0</v>
      </c>
      <c r="CI14" s="386"/>
      <c r="CJ14" s="386"/>
      <c r="CK14" s="356" t="s">
        <v>24</v>
      </c>
      <c r="CL14" s="750"/>
      <c r="CM14" s="750"/>
      <c r="CN14" s="715">
        <v>2.63</v>
      </c>
      <c r="CO14" s="715"/>
      <c r="CP14" s="356" t="s">
        <v>33</v>
      </c>
      <c r="CQ14" s="371"/>
      <c r="CR14" s="752"/>
      <c r="CS14" s="752"/>
      <c r="CT14" s="716" t="s">
        <v>48</v>
      </c>
      <c r="CU14" s="715">
        <v>0.38</v>
      </c>
      <c r="CV14" s="715"/>
      <c r="CW14" s="716" t="s">
        <v>23</v>
      </c>
      <c r="CX14" s="716">
        <f>ROUND(POWER((POWER(CC14,2.63)*CH14+POWER(CL14,2.63)*CQ14),0.38),0)</f>
        <v>0</v>
      </c>
      <c r="CY14" s="716"/>
      <c r="CZ14" s="716"/>
      <c r="DA14" s="356" t="s">
        <v>192</v>
      </c>
      <c r="DB14" s="718">
        <f>CY4</f>
        <v>0</v>
      </c>
      <c r="DC14" s="718"/>
      <c r="DD14" s="718"/>
      <c r="DE14" s="718"/>
      <c r="DF14" s="106"/>
      <c r="DG14" s="107"/>
      <c r="DH14" s="106"/>
      <c r="DI14" s="106"/>
      <c r="DJ14" s="106"/>
      <c r="DK14" s="106"/>
      <c r="DL14" s="222"/>
      <c r="DM14" s="3"/>
      <c r="DN14" s="106"/>
      <c r="DO14" s="222"/>
      <c r="DP14" s="106"/>
      <c r="DQ14" s="244"/>
      <c r="DR14" s="106"/>
      <c r="DS14" s="102"/>
      <c r="DT14" s="149"/>
      <c r="DU14" s="149"/>
      <c r="DV14" s="102"/>
      <c r="DW14" s="105">
        <v>5</v>
      </c>
      <c r="DX14" s="104">
        <v>3</v>
      </c>
      <c r="DY14" s="102">
        <v>49.599999999999994</v>
      </c>
      <c r="DZ14" s="293">
        <v>0.46</v>
      </c>
      <c r="EA14" s="102">
        <v>0.9</v>
      </c>
    </row>
    <row r="15" spans="1:131" ht="10.5" customHeight="1" x14ac:dyDescent="0.15">
      <c r="A15" s="406"/>
      <c r="B15" s="333"/>
      <c r="C15" s="333"/>
      <c r="D15" s="334"/>
      <c r="E15" s="745"/>
      <c r="F15" s="746"/>
      <c r="G15" s="748"/>
      <c r="H15" s="748"/>
      <c r="I15" s="138"/>
      <c r="J15" s="138"/>
      <c r="K15" s="333"/>
      <c r="L15" s="749"/>
      <c r="M15" s="749"/>
      <c r="N15" s="749"/>
      <c r="O15" s="333"/>
      <c r="P15" s="751"/>
      <c r="Q15" s="751"/>
      <c r="R15" s="138"/>
      <c r="S15" s="138"/>
      <c r="T15" s="333"/>
      <c r="U15" s="753"/>
      <c r="V15" s="753"/>
      <c r="W15" s="753"/>
      <c r="X15" s="717"/>
      <c r="Y15" s="138"/>
      <c r="Z15" s="138"/>
      <c r="AA15" s="717"/>
      <c r="AB15" s="717"/>
      <c r="AC15" s="717"/>
      <c r="AD15" s="717"/>
      <c r="AE15" s="333"/>
      <c r="AF15" s="719"/>
      <c r="AG15" s="719"/>
      <c r="AH15" s="719"/>
      <c r="AI15" s="719"/>
      <c r="AJ15" s="138"/>
      <c r="AK15" s="144"/>
      <c r="AL15" s="406"/>
      <c r="AM15" s="333"/>
      <c r="AN15" s="333"/>
      <c r="AO15" s="334"/>
      <c r="AP15" s="745"/>
      <c r="AQ15" s="746"/>
      <c r="AR15" s="748"/>
      <c r="AS15" s="748"/>
      <c r="AT15" s="138"/>
      <c r="AU15" s="138"/>
      <c r="AV15" s="333"/>
      <c r="AW15" s="749"/>
      <c r="AX15" s="749"/>
      <c r="AY15" s="749"/>
      <c r="AZ15" s="333"/>
      <c r="BA15" s="751"/>
      <c r="BB15" s="751"/>
      <c r="BC15" s="138"/>
      <c r="BD15" s="138"/>
      <c r="BE15" s="333"/>
      <c r="BF15" s="753"/>
      <c r="BG15" s="753"/>
      <c r="BH15" s="753"/>
      <c r="BI15" s="717"/>
      <c r="BJ15" s="138"/>
      <c r="BK15" s="138"/>
      <c r="BL15" s="717"/>
      <c r="BM15" s="717"/>
      <c r="BN15" s="717"/>
      <c r="BO15" s="717"/>
      <c r="BP15" s="333"/>
      <c r="BQ15" s="719"/>
      <c r="BR15" s="719"/>
      <c r="BS15" s="719"/>
      <c r="BT15" s="719"/>
      <c r="BU15" s="138"/>
      <c r="BV15" s="144"/>
      <c r="BW15" s="406"/>
      <c r="BX15" s="333"/>
      <c r="BY15" s="333"/>
      <c r="BZ15" s="334"/>
      <c r="CA15" s="745"/>
      <c r="CB15" s="746"/>
      <c r="CC15" s="748"/>
      <c r="CD15" s="748"/>
      <c r="CE15" s="138"/>
      <c r="CF15" s="138"/>
      <c r="CG15" s="333"/>
      <c r="CH15" s="749"/>
      <c r="CI15" s="749"/>
      <c r="CJ15" s="749"/>
      <c r="CK15" s="333"/>
      <c r="CL15" s="751"/>
      <c r="CM15" s="751"/>
      <c r="CN15" s="138"/>
      <c r="CO15" s="138"/>
      <c r="CP15" s="333"/>
      <c r="CQ15" s="753"/>
      <c r="CR15" s="753"/>
      <c r="CS15" s="753"/>
      <c r="CT15" s="717"/>
      <c r="CU15" s="138"/>
      <c r="CV15" s="138"/>
      <c r="CW15" s="717"/>
      <c r="CX15" s="717"/>
      <c r="CY15" s="717"/>
      <c r="CZ15" s="717"/>
      <c r="DA15" s="333"/>
      <c r="DB15" s="719"/>
      <c r="DC15" s="719"/>
      <c r="DD15" s="719"/>
      <c r="DE15" s="719"/>
      <c r="DF15" s="138"/>
      <c r="DG15" s="144"/>
      <c r="DH15" s="106"/>
      <c r="DI15" s="106"/>
      <c r="DJ15" s="106"/>
      <c r="DK15" s="106"/>
      <c r="DL15" s="222"/>
      <c r="DM15" s="3"/>
      <c r="DN15" s="3"/>
      <c r="DO15" s="3"/>
      <c r="DP15" s="102"/>
      <c r="DQ15" s="102"/>
      <c r="DR15" s="102"/>
      <c r="DS15" s="149"/>
      <c r="DT15" s="149"/>
      <c r="DU15" s="149"/>
      <c r="DV15" s="102"/>
      <c r="DW15" s="105">
        <v>6</v>
      </c>
      <c r="DX15" s="104">
        <v>3.5</v>
      </c>
      <c r="DY15" s="102">
        <v>49.499999999999993</v>
      </c>
      <c r="DZ15" s="293">
        <v>0.45</v>
      </c>
      <c r="EA15" s="102">
        <v>1</v>
      </c>
    </row>
    <row r="16" spans="1:131" x14ac:dyDescent="0.15">
      <c r="A16" s="24"/>
      <c r="B16" s="222"/>
      <c r="C16" s="222"/>
      <c r="D16" s="17"/>
      <c r="E16" s="222" t="s">
        <v>201</v>
      </c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7"/>
      <c r="AL16" s="24"/>
      <c r="AM16" s="222"/>
      <c r="AN16" s="222"/>
      <c r="AO16" s="17"/>
      <c r="AP16" s="222" t="s">
        <v>201</v>
      </c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7"/>
      <c r="BW16" s="24"/>
      <c r="BX16" s="222"/>
      <c r="BY16" s="222"/>
      <c r="BZ16" s="17"/>
      <c r="CA16" s="222" t="s">
        <v>201</v>
      </c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7"/>
      <c r="DH16" s="222"/>
      <c r="DI16" s="222"/>
      <c r="DJ16" s="222"/>
      <c r="DK16" s="222"/>
      <c r="DL16" s="222"/>
      <c r="DM16" s="3"/>
      <c r="DN16" s="3"/>
      <c r="DO16" s="3"/>
      <c r="DP16" s="102"/>
      <c r="DQ16" s="102"/>
      <c r="DR16" s="102"/>
      <c r="DS16" s="149"/>
      <c r="DT16" s="149"/>
      <c r="DU16" s="149"/>
      <c r="DV16" s="102"/>
      <c r="DW16" s="105">
        <v>7</v>
      </c>
      <c r="DX16" s="104">
        <v>4</v>
      </c>
      <c r="DY16" s="102">
        <v>49.399999999999991</v>
      </c>
      <c r="DZ16" s="293">
        <v>0.44</v>
      </c>
      <c r="EA16" s="102">
        <v>1.1000000000000001</v>
      </c>
    </row>
    <row r="17" spans="1:131" ht="16.5" customHeight="1" x14ac:dyDescent="0.15">
      <c r="A17" s="163"/>
      <c r="B17" s="14"/>
      <c r="C17" s="14"/>
      <c r="D17" s="164"/>
      <c r="E17" s="110" t="s">
        <v>202</v>
      </c>
      <c r="F17" s="222"/>
      <c r="G17" s="222"/>
      <c r="H17" s="222"/>
      <c r="I17" s="222"/>
      <c r="J17" s="222"/>
      <c r="K17" s="222"/>
      <c r="L17" s="222"/>
      <c r="M17" s="106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7"/>
      <c r="AL17" s="163"/>
      <c r="AM17" s="14"/>
      <c r="AN17" s="14"/>
      <c r="AO17" s="164"/>
      <c r="AP17" s="110" t="s">
        <v>202</v>
      </c>
      <c r="AQ17" s="222"/>
      <c r="AR17" s="222"/>
      <c r="AS17" s="222"/>
      <c r="AT17" s="222"/>
      <c r="AU17" s="222"/>
      <c r="AV17" s="222"/>
      <c r="AW17" s="222"/>
      <c r="AX17" s="106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7"/>
      <c r="BW17" s="163"/>
      <c r="BX17" s="14"/>
      <c r="BY17" s="14"/>
      <c r="BZ17" s="164"/>
      <c r="CA17" s="110" t="s">
        <v>202</v>
      </c>
      <c r="CB17" s="222"/>
      <c r="CC17" s="222"/>
      <c r="CD17" s="222"/>
      <c r="CE17" s="222"/>
      <c r="CF17" s="222"/>
      <c r="CG17" s="222"/>
      <c r="CH17" s="222"/>
      <c r="CI17" s="106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7"/>
      <c r="DH17" s="222"/>
      <c r="DI17" s="222"/>
      <c r="DJ17" s="222"/>
      <c r="DK17" s="222"/>
      <c r="DL17" s="222"/>
      <c r="DM17" s="3"/>
      <c r="DN17" s="3"/>
      <c r="DO17" s="3"/>
      <c r="DP17" s="102"/>
      <c r="DQ17" s="102"/>
      <c r="DR17" s="102"/>
      <c r="DS17" s="149"/>
      <c r="DT17" s="149"/>
      <c r="DU17" s="149"/>
      <c r="DV17" s="102"/>
      <c r="DW17" s="105">
        <v>8</v>
      </c>
      <c r="DX17" s="104">
        <v>4.5</v>
      </c>
      <c r="DY17" s="102">
        <v>49.29999999999999</v>
      </c>
      <c r="DZ17" s="293">
        <v>0.43</v>
      </c>
      <c r="EA17" s="102">
        <v>1.2</v>
      </c>
    </row>
    <row r="18" spans="1:131" ht="16.5" x14ac:dyDescent="0.15">
      <c r="A18" s="163"/>
      <c r="B18" s="14"/>
      <c r="C18" s="14"/>
      <c r="D18" s="164"/>
      <c r="E18" s="222" t="s">
        <v>180</v>
      </c>
      <c r="F18" s="208"/>
      <c r="G18" s="356">
        <v>10.666</v>
      </c>
      <c r="H18" s="356"/>
      <c r="I18" s="356"/>
      <c r="J18" s="356"/>
      <c r="K18" s="222" t="s">
        <v>179</v>
      </c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7"/>
      <c r="AL18" s="163"/>
      <c r="AM18" s="14"/>
      <c r="AN18" s="14"/>
      <c r="AO18" s="164"/>
      <c r="AP18" s="222" t="s">
        <v>180</v>
      </c>
      <c r="AQ18" s="208"/>
      <c r="AR18" s="356">
        <v>10.666</v>
      </c>
      <c r="AS18" s="356"/>
      <c r="AT18" s="356"/>
      <c r="AU18" s="356"/>
      <c r="AV18" s="222" t="s">
        <v>179</v>
      </c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7"/>
      <c r="BW18" s="163"/>
      <c r="BX18" s="14"/>
      <c r="BY18" s="14"/>
      <c r="BZ18" s="164"/>
      <c r="CA18" s="222" t="s">
        <v>180</v>
      </c>
      <c r="CB18" s="208"/>
      <c r="CC18" s="356">
        <v>10.666</v>
      </c>
      <c r="CD18" s="356"/>
      <c r="CE18" s="356"/>
      <c r="CF18" s="356"/>
      <c r="CG18" s="222" t="s">
        <v>179</v>
      </c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7"/>
      <c r="DH18" s="222"/>
      <c r="DI18" s="222"/>
      <c r="DJ18" s="222"/>
      <c r="DK18" s="222"/>
      <c r="DL18" s="222"/>
      <c r="DM18" s="3"/>
      <c r="DN18" s="3"/>
      <c r="DO18" s="3"/>
      <c r="DP18" s="102"/>
      <c r="DQ18" s="102"/>
      <c r="DR18" s="102"/>
      <c r="DS18" s="102"/>
      <c r="DT18" s="102"/>
      <c r="DU18" s="102"/>
      <c r="DV18" s="102"/>
      <c r="DW18" s="105">
        <v>9</v>
      </c>
      <c r="DX18" s="104">
        <v>5</v>
      </c>
      <c r="DY18" s="102">
        <v>49.199999999999989</v>
      </c>
      <c r="DZ18" s="293">
        <v>0.42</v>
      </c>
      <c r="EA18" s="102">
        <v>1.3</v>
      </c>
    </row>
    <row r="19" spans="1:131" ht="18.75" customHeight="1" x14ac:dyDescent="0.15">
      <c r="A19" s="720" t="s">
        <v>178</v>
      </c>
      <c r="B19" s="550"/>
      <c r="C19" s="550"/>
      <c r="D19" s="551"/>
      <c r="E19" s="222"/>
      <c r="F19" s="208" t="s">
        <v>102</v>
      </c>
      <c r="G19" s="356">
        <f>10.666</f>
        <v>10.666</v>
      </c>
      <c r="H19" s="356"/>
      <c r="I19" s="356"/>
      <c r="J19" s="356"/>
      <c r="K19" s="198" t="s">
        <v>177</v>
      </c>
      <c r="L19" s="356">
        <f>110</f>
        <v>110</v>
      </c>
      <c r="M19" s="356"/>
      <c r="N19" s="721">
        <v>-1.85</v>
      </c>
      <c r="O19" s="721"/>
      <c r="P19" s="198" t="s">
        <v>177</v>
      </c>
      <c r="Q19" s="722">
        <f>ROUND(AC4/1000,3)</f>
        <v>0</v>
      </c>
      <c r="R19" s="722"/>
      <c r="S19" s="722"/>
      <c r="T19" s="722"/>
      <c r="U19" s="721">
        <v>-4.87</v>
      </c>
      <c r="V19" s="721"/>
      <c r="W19" s="198" t="s">
        <v>177</v>
      </c>
      <c r="X19" s="723">
        <f>AC12</f>
        <v>0</v>
      </c>
      <c r="Y19" s="723"/>
      <c r="Z19" s="723"/>
      <c r="AA19" s="723"/>
      <c r="AB19" s="723"/>
      <c r="AC19" s="721">
        <v>1.85</v>
      </c>
      <c r="AD19" s="721"/>
      <c r="AE19" s="198" t="s">
        <v>177</v>
      </c>
      <c r="AF19" s="372">
        <f>AC28</f>
        <v>0</v>
      </c>
      <c r="AG19" s="372"/>
      <c r="AH19" s="372"/>
      <c r="AI19" s="372"/>
      <c r="AJ19" s="222"/>
      <c r="AK19" s="7"/>
      <c r="AL19" s="720" t="s">
        <v>178</v>
      </c>
      <c r="AM19" s="550"/>
      <c r="AN19" s="550"/>
      <c r="AO19" s="551"/>
      <c r="AP19" s="222"/>
      <c r="AQ19" s="208" t="s">
        <v>102</v>
      </c>
      <c r="AR19" s="356">
        <f>10.666</f>
        <v>10.666</v>
      </c>
      <c r="AS19" s="356"/>
      <c r="AT19" s="356"/>
      <c r="AU19" s="356"/>
      <c r="AV19" s="251" t="s">
        <v>177</v>
      </c>
      <c r="AW19" s="356">
        <f>110</f>
        <v>110</v>
      </c>
      <c r="AX19" s="356"/>
      <c r="AY19" s="721">
        <v>-1.85</v>
      </c>
      <c r="AZ19" s="721"/>
      <c r="BA19" s="251" t="s">
        <v>177</v>
      </c>
      <c r="BB19" s="722">
        <f>ROUND(BN4/1000,3)</f>
        <v>0</v>
      </c>
      <c r="BC19" s="722"/>
      <c r="BD19" s="722"/>
      <c r="BE19" s="722"/>
      <c r="BF19" s="721">
        <v>-4.87</v>
      </c>
      <c r="BG19" s="721"/>
      <c r="BH19" s="251" t="s">
        <v>177</v>
      </c>
      <c r="BI19" s="723">
        <f>BN12</f>
        <v>0</v>
      </c>
      <c r="BJ19" s="723"/>
      <c r="BK19" s="723"/>
      <c r="BL19" s="723"/>
      <c r="BM19" s="723"/>
      <c r="BN19" s="721">
        <v>1.85</v>
      </c>
      <c r="BO19" s="721"/>
      <c r="BP19" s="251" t="s">
        <v>177</v>
      </c>
      <c r="BQ19" s="372">
        <f>BN28</f>
        <v>0</v>
      </c>
      <c r="BR19" s="372"/>
      <c r="BS19" s="372"/>
      <c r="BT19" s="372"/>
      <c r="BU19" s="222"/>
      <c r="BV19" s="7"/>
      <c r="BW19" s="720" t="s">
        <v>178</v>
      </c>
      <c r="BX19" s="550"/>
      <c r="BY19" s="550"/>
      <c r="BZ19" s="551"/>
      <c r="CA19" s="222"/>
      <c r="CB19" s="208" t="s">
        <v>102</v>
      </c>
      <c r="CC19" s="356">
        <f>10.666</f>
        <v>10.666</v>
      </c>
      <c r="CD19" s="356"/>
      <c r="CE19" s="356"/>
      <c r="CF19" s="356"/>
      <c r="CG19" s="251" t="s">
        <v>177</v>
      </c>
      <c r="CH19" s="356">
        <f>110</f>
        <v>110</v>
      </c>
      <c r="CI19" s="356"/>
      <c r="CJ19" s="721">
        <v>-1.85</v>
      </c>
      <c r="CK19" s="721"/>
      <c r="CL19" s="251" t="s">
        <v>177</v>
      </c>
      <c r="CM19" s="722">
        <f>ROUND(CY4/1000,3)</f>
        <v>0</v>
      </c>
      <c r="CN19" s="722"/>
      <c r="CO19" s="722"/>
      <c r="CP19" s="722"/>
      <c r="CQ19" s="721">
        <v>-4.87</v>
      </c>
      <c r="CR19" s="721"/>
      <c r="CS19" s="251" t="s">
        <v>177</v>
      </c>
      <c r="CT19" s="723">
        <f>CY12</f>
        <v>0</v>
      </c>
      <c r="CU19" s="723"/>
      <c r="CV19" s="723"/>
      <c r="CW19" s="723"/>
      <c r="CX19" s="723"/>
      <c r="CY19" s="721">
        <v>1.85</v>
      </c>
      <c r="CZ19" s="721"/>
      <c r="DA19" s="251" t="s">
        <v>177</v>
      </c>
      <c r="DB19" s="372">
        <f>CY28</f>
        <v>0</v>
      </c>
      <c r="DC19" s="372"/>
      <c r="DD19" s="372"/>
      <c r="DE19" s="372"/>
      <c r="DF19" s="222"/>
      <c r="DG19" s="7"/>
      <c r="DH19" s="222"/>
      <c r="DI19" s="222"/>
      <c r="DJ19" s="222"/>
      <c r="DK19" s="222"/>
      <c r="DL19" s="222"/>
      <c r="DM19" s="3"/>
      <c r="DN19" s="3"/>
      <c r="DO19" s="3"/>
      <c r="DP19" s="102"/>
      <c r="DQ19" s="102"/>
      <c r="DR19" s="102"/>
      <c r="DS19" s="102"/>
      <c r="DT19" s="102"/>
      <c r="DU19" s="102"/>
      <c r="DV19" s="102"/>
      <c r="DW19" s="105">
        <v>10</v>
      </c>
      <c r="DX19" s="104">
        <v>5.5</v>
      </c>
      <c r="DY19" s="102">
        <v>49.099999999999987</v>
      </c>
      <c r="DZ19" s="293">
        <v>0.41</v>
      </c>
      <c r="EA19" s="102">
        <v>1.4</v>
      </c>
    </row>
    <row r="20" spans="1:131" ht="14.25" customHeight="1" x14ac:dyDescent="0.15">
      <c r="A20" s="549"/>
      <c r="B20" s="550"/>
      <c r="C20" s="550"/>
      <c r="D20" s="551"/>
      <c r="E20" s="222"/>
      <c r="F20" s="554" t="s">
        <v>102</v>
      </c>
      <c r="G20" s="724">
        <f>IF(A58=1,ROUND(G19*(POWER(110,-1.85))*(POWER(Q19,-4.87))*(POWER(X19,1.85))*AF19,3),0)</f>
        <v>0</v>
      </c>
      <c r="H20" s="724"/>
      <c r="I20" s="724"/>
      <c r="J20" s="724"/>
      <c r="K20" s="724"/>
      <c r="L20" s="724"/>
      <c r="M20" s="713" t="str">
        <f>IF(A58&lt;&gt;1,"口径、水量、延長を入力すると、計算を開始します","")</f>
        <v>口径、水量、延長を入力すると、計算を開始します</v>
      </c>
      <c r="N20" s="714"/>
      <c r="O20" s="714"/>
      <c r="P20" s="714"/>
      <c r="Q20" s="714"/>
      <c r="R20" s="714"/>
      <c r="S20" s="714"/>
      <c r="T20" s="714"/>
      <c r="U20" s="714"/>
      <c r="V20" s="714"/>
      <c r="W20" s="714"/>
      <c r="X20" s="714"/>
      <c r="Y20" s="714"/>
      <c r="Z20" s="110" t="s">
        <v>176</v>
      </c>
      <c r="AA20" s="148"/>
      <c r="AB20" s="148"/>
      <c r="AC20" s="148"/>
      <c r="AD20" s="148"/>
      <c r="AE20" s="148"/>
      <c r="AF20" s="148"/>
      <c r="AG20" s="148"/>
      <c r="AH20" s="89"/>
      <c r="AI20" s="89"/>
      <c r="AJ20" s="222"/>
      <c r="AK20" s="7"/>
      <c r="AL20" s="549"/>
      <c r="AM20" s="550"/>
      <c r="AN20" s="550"/>
      <c r="AO20" s="551"/>
      <c r="AP20" s="222"/>
      <c r="AQ20" s="554" t="s">
        <v>102</v>
      </c>
      <c r="AR20" s="724">
        <f>IF(AL58=1,ROUND(AR19*(POWER(110,-1.85))*(POWER(BB19,-4.87))*(POWER(BI19,1.85))*BQ19,3),0)</f>
        <v>0</v>
      </c>
      <c r="AS20" s="724"/>
      <c r="AT20" s="724"/>
      <c r="AU20" s="724"/>
      <c r="AV20" s="724"/>
      <c r="AW20" s="724"/>
      <c r="AX20" s="713" t="str">
        <f>IF(AL58&lt;&gt;1,"口径、水量、延長を入力すると、計算を開始します","")</f>
        <v>口径、水量、延長を入力すると、計算を開始します</v>
      </c>
      <c r="AY20" s="714"/>
      <c r="AZ20" s="714"/>
      <c r="BA20" s="714"/>
      <c r="BB20" s="714"/>
      <c r="BC20" s="714"/>
      <c r="BD20" s="714"/>
      <c r="BE20" s="714"/>
      <c r="BF20" s="714"/>
      <c r="BG20" s="714"/>
      <c r="BH20" s="714"/>
      <c r="BI20" s="714"/>
      <c r="BJ20" s="714"/>
      <c r="BK20" s="110" t="s">
        <v>176</v>
      </c>
      <c r="BL20" s="148"/>
      <c r="BM20" s="148"/>
      <c r="BN20" s="148"/>
      <c r="BO20" s="148"/>
      <c r="BP20" s="148"/>
      <c r="BQ20" s="148"/>
      <c r="BR20" s="148"/>
      <c r="BS20" s="89"/>
      <c r="BT20" s="89"/>
      <c r="BU20" s="222"/>
      <c r="BV20" s="7"/>
      <c r="BW20" s="549"/>
      <c r="BX20" s="550"/>
      <c r="BY20" s="550"/>
      <c r="BZ20" s="551"/>
      <c r="CA20" s="222"/>
      <c r="CB20" s="554" t="s">
        <v>102</v>
      </c>
      <c r="CC20" s="724">
        <f>IF(BW58=1,ROUND(CC19*(POWER(110,-1.85))*(POWER(CM19,-4.87))*(POWER(CT19,1.85))*DB19,3),0)</f>
        <v>0</v>
      </c>
      <c r="CD20" s="724"/>
      <c r="CE20" s="724"/>
      <c r="CF20" s="724"/>
      <c r="CG20" s="724"/>
      <c r="CH20" s="724"/>
      <c r="CI20" s="713" t="str">
        <f>IF(BW58&lt;&gt;1,"口径、水量、延長を入力すると、計算を開始します","")</f>
        <v>口径、水量、延長を入力すると、計算を開始します</v>
      </c>
      <c r="CJ20" s="714"/>
      <c r="CK20" s="714"/>
      <c r="CL20" s="714"/>
      <c r="CM20" s="714"/>
      <c r="CN20" s="714"/>
      <c r="CO20" s="714"/>
      <c r="CP20" s="714"/>
      <c r="CQ20" s="714"/>
      <c r="CR20" s="714"/>
      <c r="CS20" s="714"/>
      <c r="CT20" s="714"/>
      <c r="CU20" s="714"/>
      <c r="CV20" s="110" t="s">
        <v>176</v>
      </c>
      <c r="CW20" s="148"/>
      <c r="CX20" s="148"/>
      <c r="CY20" s="148"/>
      <c r="CZ20" s="148"/>
      <c r="DA20" s="148"/>
      <c r="DB20" s="148"/>
      <c r="DC20" s="148"/>
      <c r="DD20" s="89"/>
      <c r="DE20" s="89"/>
      <c r="DF20" s="222"/>
      <c r="DG20" s="7"/>
      <c r="DH20" s="222"/>
      <c r="DI20" s="222"/>
      <c r="DJ20" s="222"/>
      <c r="DK20" s="222"/>
      <c r="DL20" s="222"/>
      <c r="DM20" s="3"/>
      <c r="DN20" s="3"/>
      <c r="DP20" s="265">
        <v>75</v>
      </c>
      <c r="DQ20" s="265">
        <v>100</v>
      </c>
      <c r="DR20" s="265">
        <v>150</v>
      </c>
      <c r="DS20" s="265">
        <v>200</v>
      </c>
      <c r="DT20" s="265">
        <v>250</v>
      </c>
      <c r="DU20" s="102"/>
      <c r="DV20" s="102"/>
      <c r="DW20" s="105">
        <v>11</v>
      </c>
      <c r="DX20" s="104">
        <v>6</v>
      </c>
      <c r="DY20" s="102">
        <v>48.999999999999986</v>
      </c>
      <c r="DZ20" s="293">
        <v>0.4</v>
      </c>
      <c r="EA20" s="102">
        <v>1.5</v>
      </c>
    </row>
    <row r="21" spans="1:131" ht="14.25" customHeight="1" x14ac:dyDescent="0.15">
      <c r="A21" s="725">
        <f>AC4</f>
        <v>0</v>
      </c>
      <c r="B21" s="726"/>
      <c r="C21" s="726"/>
      <c r="D21" s="727"/>
      <c r="E21" s="222"/>
      <c r="F21" s="554"/>
      <c r="G21" s="724"/>
      <c r="H21" s="724"/>
      <c r="I21" s="724"/>
      <c r="J21" s="724"/>
      <c r="K21" s="724"/>
      <c r="L21" s="724"/>
      <c r="M21" s="714"/>
      <c r="N21" s="714"/>
      <c r="O21" s="714"/>
      <c r="P21" s="714"/>
      <c r="Q21" s="714"/>
      <c r="R21" s="714"/>
      <c r="S21" s="714"/>
      <c r="T21" s="714"/>
      <c r="U21" s="714"/>
      <c r="V21" s="714"/>
      <c r="W21" s="714"/>
      <c r="X21" s="714"/>
      <c r="Y21" s="714"/>
      <c r="Z21" s="728" t="s">
        <v>218</v>
      </c>
      <c r="AA21" s="754"/>
      <c r="AB21" s="754"/>
      <c r="AC21" s="754"/>
      <c r="AD21" s="755"/>
      <c r="AE21" s="731">
        <f>AC4</f>
        <v>0</v>
      </c>
      <c r="AF21" s="732"/>
      <c r="AG21" s="732"/>
      <c r="AH21" s="732"/>
      <c r="AI21" s="165" t="s">
        <v>219</v>
      </c>
      <c r="AJ21" s="166"/>
      <c r="AK21" s="7"/>
      <c r="AL21" s="725">
        <f>BN4</f>
        <v>0</v>
      </c>
      <c r="AM21" s="726"/>
      <c r="AN21" s="726"/>
      <c r="AO21" s="727"/>
      <c r="AP21" s="222"/>
      <c r="AQ21" s="554"/>
      <c r="AR21" s="724"/>
      <c r="AS21" s="724"/>
      <c r="AT21" s="724"/>
      <c r="AU21" s="724"/>
      <c r="AV21" s="724"/>
      <c r="AW21" s="724"/>
      <c r="AX21" s="714"/>
      <c r="AY21" s="714"/>
      <c r="AZ21" s="714"/>
      <c r="BA21" s="714"/>
      <c r="BB21" s="714"/>
      <c r="BC21" s="714"/>
      <c r="BD21" s="714"/>
      <c r="BE21" s="714"/>
      <c r="BF21" s="714"/>
      <c r="BG21" s="714"/>
      <c r="BH21" s="714"/>
      <c r="BI21" s="714"/>
      <c r="BJ21" s="714"/>
      <c r="BK21" s="728" t="s">
        <v>155</v>
      </c>
      <c r="BL21" s="729"/>
      <c r="BM21" s="729"/>
      <c r="BN21" s="729"/>
      <c r="BO21" s="730"/>
      <c r="BP21" s="731">
        <f>BN4</f>
        <v>0</v>
      </c>
      <c r="BQ21" s="732"/>
      <c r="BR21" s="732"/>
      <c r="BS21" s="732"/>
      <c r="BT21" s="165" t="s">
        <v>219</v>
      </c>
      <c r="BU21" s="166"/>
      <c r="BV21" s="7"/>
      <c r="BW21" s="725">
        <f>CY4</f>
        <v>0</v>
      </c>
      <c r="BX21" s="726"/>
      <c r="BY21" s="726"/>
      <c r="BZ21" s="727"/>
      <c r="CA21" s="222"/>
      <c r="CB21" s="554"/>
      <c r="CC21" s="724"/>
      <c r="CD21" s="724"/>
      <c r="CE21" s="724"/>
      <c r="CF21" s="724"/>
      <c r="CG21" s="724"/>
      <c r="CH21" s="724"/>
      <c r="CI21" s="714"/>
      <c r="CJ21" s="714"/>
      <c r="CK21" s="714"/>
      <c r="CL21" s="714"/>
      <c r="CM21" s="714"/>
      <c r="CN21" s="714"/>
      <c r="CO21" s="714"/>
      <c r="CP21" s="714"/>
      <c r="CQ21" s="714"/>
      <c r="CR21" s="714"/>
      <c r="CS21" s="714"/>
      <c r="CT21" s="714"/>
      <c r="CU21" s="714"/>
      <c r="CV21" s="728" t="s">
        <v>155</v>
      </c>
      <c r="CW21" s="729"/>
      <c r="CX21" s="729"/>
      <c r="CY21" s="729"/>
      <c r="CZ21" s="730"/>
      <c r="DA21" s="731">
        <f>CY4</f>
        <v>0</v>
      </c>
      <c r="DB21" s="732"/>
      <c r="DC21" s="732"/>
      <c r="DD21" s="732"/>
      <c r="DE21" s="165" t="s">
        <v>219</v>
      </c>
      <c r="DF21" s="166"/>
      <c r="DG21" s="7"/>
      <c r="DH21" s="222"/>
      <c r="DI21" s="222"/>
      <c r="DJ21" s="222"/>
      <c r="DK21" s="222"/>
      <c r="DL21" s="222"/>
      <c r="DM21" s="3"/>
      <c r="DN21" s="3"/>
      <c r="DO21" s="201"/>
      <c r="DP21" s="132">
        <v>75</v>
      </c>
      <c r="DQ21" s="132">
        <v>100</v>
      </c>
      <c r="DR21" s="132">
        <v>150</v>
      </c>
      <c r="DS21" s="132">
        <v>200</v>
      </c>
      <c r="DT21" s="132">
        <v>250</v>
      </c>
      <c r="DU21" s="102"/>
      <c r="DV21" s="102"/>
      <c r="DW21" s="105">
        <v>12</v>
      </c>
      <c r="DX21" s="104">
        <v>6.5</v>
      </c>
      <c r="DY21" s="102">
        <v>48.899999999999984</v>
      </c>
      <c r="DZ21" s="293">
        <v>0.39</v>
      </c>
      <c r="EA21" s="102">
        <v>1.6</v>
      </c>
    </row>
    <row r="22" spans="1:131" ht="14.25" customHeight="1" x14ac:dyDescent="0.15">
      <c r="A22" s="725"/>
      <c r="B22" s="726"/>
      <c r="C22" s="726"/>
      <c r="D22" s="727"/>
      <c r="E22" s="711" t="s">
        <v>175</v>
      </c>
      <c r="F22" s="712"/>
      <c r="G22" s="712"/>
      <c r="H22" s="712"/>
      <c r="I22" s="712"/>
      <c r="J22" s="712"/>
      <c r="K22" s="712"/>
      <c r="L22" s="689">
        <f>AG22</f>
        <v>0</v>
      </c>
      <c r="M22" s="689"/>
      <c r="N22" s="689"/>
      <c r="O22" s="689"/>
      <c r="P22" s="222" t="s">
        <v>135</v>
      </c>
      <c r="Q22" s="708"/>
      <c r="R22" s="708"/>
      <c r="S22" s="222" t="s">
        <v>102</v>
      </c>
      <c r="T22" s="689">
        <f>ROUND(L22*Q22,1)</f>
        <v>0</v>
      </c>
      <c r="U22" s="689"/>
      <c r="V22" s="689"/>
      <c r="W22" s="689"/>
      <c r="X22" s="106"/>
      <c r="Y22" s="106"/>
      <c r="Z22" s="167" t="s">
        <v>220</v>
      </c>
      <c r="AA22" s="168"/>
      <c r="AB22" s="168"/>
      <c r="AC22" s="168"/>
      <c r="AD22" s="168"/>
      <c r="AE22" s="168"/>
      <c r="AF22" s="168"/>
      <c r="AG22" s="709">
        <f>IF(ISERROR(HLOOKUP(AE21,$DP$21:$DT$26,2)),0,HLOOKUP(AE21,$DP$21:$DT$26,2))</f>
        <v>0</v>
      </c>
      <c r="AH22" s="611"/>
      <c r="AI22" s="611"/>
      <c r="AJ22" s="710"/>
      <c r="AK22" s="107"/>
      <c r="AL22" s="725"/>
      <c r="AM22" s="726"/>
      <c r="AN22" s="726"/>
      <c r="AO22" s="727"/>
      <c r="AP22" s="711" t="s">
        <v>175</v>
      </c>
      <c r="AQ22" s="712"/>
      <c r="AR22" s="712"/>
      <c r="AS22" s="712"/>
      <c r="AT22" s="712"/>
      <c r="AU22" s="712"/>
      <c r="AV22" s="712"/>
      <c r="AW22" s="689">
        <f>BR22</f>
        <v>0</v>
      </c>
      <c r="AX22" s="689"/>
      <c r="AY22" s="689"/>
      <c r="AZ22" s="689"/>
      <c r="BA22" s="222" t="s">
        <v>135</v>
      </c>
      <c r="BB22" s="708"/>
      <c r="BC22" s="708"/>
      <c r="BD22" s="222" t="s">
        <v>102</v>
      </c>
      <c r="BE22" s="689">
        <f>ROUND(AW22*BB22,1)</f>
        <v>0</v>
      </c>
      <c r="BF22" s="689"/>
      <c r="BG22" s="689"/>
      <c r="BH22" s="689"/>
      <c r="BI22" s="106"/>
      <c r="BJ22" s="106"/>
      <c r="BK22" s="167" t="s">
        <v>174</v>
      </c>
      <c r="BL22" s="168"/>
      <c r="BM22" s="168"/>
      <c r="BN22" s="168"/>
      <c r="BO22" s="168"/>
      <c r="BP22" s="168"/>
      <c r="BQ22" s="168"/>
      <c r="BR22" s="709">
        <f>IF(ISERROR(HLOOKUP(BP21,$DP$21:$DT$26,2)),0,HLOOKUP(BP21,$DP$21:$DT$26,2))</f>
        <v>0</v>
      </c>
      <c r="BS22" s="611"/>
      <c r="BT22" s="611"/>
      <c r="BU22" s="710"/>
      <c r="BV22" s="107"/>
      <c r="BW22" s="725"/>
      <c r="BX22" s="726"/>
      <c r="BY22" s="726"/>
      <c r="BZ22" s="727"/>
      <c r="CA22" s="711" t="s">
        <v>175</v>
      </c>
      <c r="CB22" s="712"/>
      <c r="CC22" s="712"/>
      <c r="CD22" s="712"/>
      <c r="CE22" s="712"/>
      <c r="CF22" s="712"/>
      <c r="CG22" s="712"/>
      <c r="CH22" s="689">
        <f>DC22</f>
        <v>0</v>
      </c>
      <c r="CI22" s="689"/>
      <c r="CJ22" s="689"/>
      <c r="CK22" s="689"/>
      <c r="CL22" s="222" t="s">
        <v>135</v>
      </c>
      <c r="CM22" s="708"/>
      <c r="CN22" s="708"/>
      <c r="CO22" s="222" t="s">
        <v>102</v>
      </c>
      <c r="CP22" s="689">
        <f>ROUND(CH22*CM22,1)</f>
        <v>0</v>
      </c>
      <c r="CQ22" s="689"/>
      <c r="CR22" s="689"/>
      <c r="CS22" s="689"/>
      <c r="CT22" s="106"/>
      <c r="CU22" s="106"/>
      <c r="CV22" s="167" t="s">
        <v>174</v>
      </c>
      <c r="CW22" s="168"/>
      <c r="CX22" s="168"/>
      <c r="CY22" s="168"/>
      <c r="CZ22" s="168"/>
      <c r="DA22" s="168"/>
      <c r="DB22" s="168"/>
      <c r="DC22" s="709">
        <f>IF(ISERROR(HLOOKUP(DA21,$DP$21:$DT$26,2)),0,HLOOKUP(DA21,$DP$21:$DT$26,2))</f>
        <v>0</v>
      </c>
      <c r="DD22" s="611"/>
      <c r="DE22" s="611"/>
      <c r="DF22" s="710"/>
      <c r="DG22" s="107"/>
      <c r="DH22" s="106"/>
      <c r="DI22" s="106"/>
      <c r="DJ22" s="106"/>
      <c r="DK22" s="106"/>
      <c r="DL22" s="222"/>
      <c r="DM22" s="3"/>
      <c r="DN22" s="3"/>
      <c r="DO22" s="196" t="s">
        <v>174</v>
      </c>
      <c r="DP22" s="193">
        <v>0.9</v>
      </c>
      <c r="DQ22" s="193">
        <v>1.2</v>
      </c>
      <c r="DR22" s="193">
        <v>1.8</v>
      </c>
      <c r="DS22" s="193">
        <v>4</v>
      </c>
      <c r="DT22" s="193">
        <v>5</v>
      </c>
      <c r="DU22" s="102"/>
      <c r="DV22" s="102"/>
      <c r="DW22" s="105">
        <v>13</v>
      </c>
      <c r="DX22" s="104">
        <v>7</v>
      </c>
      <c r="DY22" s="102">
        <v>48.799999999999983</v>
      </c>
      <c r="DZ22" s="293">
        <v>0.38</v>
      </c>
      <c r="EA22" s="102">
        <v>1.7</v>
      </c>
    </row>
    <row r="23" spans="1:131" x14ac:dyDescent="0.15">
      <c r="A23" s="108"/>
      <c r="B23" s="106"/>
      <c r="C23" s="106"/>
      <c r="D23" s="106"/>
      <c r="E23" s="707" t="s">
        <v>173</v>
      </c>
      <c r="F23" s="554"/>
      <c r="G23" s="554"/>
      <c r="H23" s="554"/>
      <c r="I23" s="554"/>
      <c r="J23" s="554"/>
      <c r="K23" s="554"/>
      <c r="L23" s="689">
        <f t="shared" ref="L23:L26" si="0">AG23</f>
        <v>0</v>
      </c>
      <c r="M23" s="689"/>
      <c r="N23" s="689"/>
      <c r="O23" s="689"/>
      <c r="P23" s="222" t="s">
        <v>135</v>
      </c>
      <c r="Q23" s="708"/>
      <c r="R23" s="708"/>
      <c r="S23" s="222" t="s">
        <v>102</v>
      </c>
      <c r="T23" s="689">
        <f>ROUND(L23*Q23,1)</f>
        <v>0</v>
      </c>
      <c r="U23" s="689"/>
      <c r="V23" s="689"/>
      <c r="W23" s="689"/>
      <c r="X23" s="106"/>
      <c r="Y23" s="106"/>
      <c r="Z23" s="169" t="s">
        <v>221</v>
      </c>
      <c r="AA23" s="130"/>
      <c r="AB23" s="130"/>
      <c r="AC23" s="130"/>
      <c r="AD23" s="130"/>
      <c r="AE23" s="130"/>
      <c r="AF23" s="130"/>
      <c r="AG23" s="709">
        <f>IF(ISERROR(HLOOKUP(AE21,$DP$21:$DT$26,3)),0,HLOOKUP(AE21,$DP$21:$DT$26,3))</f>
        <v>0</v>
      </c>
      <c r="AH23" s="611"/>
      <c r="AI23" s="611"/>
      <c r="AJ23" s="710"/>
      <c r="AK23" s="107"/>
      <c r="AL23" s="108"/>
      <c r="AM23" s="106"/>
      <c r="AN23" s="106"/>
      <c r="AO23" s="106"/>
      <c r="AP23" s="707" t="s">
        <v>173</v>
      </c>
      <c r="AQ23" s="554"/>
      <c r="AR23" s="554"/>
      <c r="AS23" s="554"/>
      <c r="AT23" s="554"/>
      <c r="AU23" s="554"/>
      <c r="AV23" s="554"/>
      <c r="AW23" s="689">
        <f t="shared" ref="AW23:AW26" si="1">BR23</f>
        <v>0</v>
      </c>
      <c r="AX23" s="689"/>
      <c r="AY23" s="689"/>
      <c r="AZ23" s="689"/>
      <c r="BA23" s="222" t="s">
        <v>135</v>
      </c>
      <c r="BB23" s="708"/>
      <c r="BC23" s="708"/>
      <c r="BD23" s="222" t="s">
        <v>102</v>
      </c>
      <c r="BE23" s="689">
        <f>ROUND(AW23*BB23,1)</f>
        <v>0</v>
      </c>
      <c r="BF23" s="689"/>
      <c r="BG23" s="689"/>
      <c r="BH23" s="689"/>
      <c r="BI23" s="106"/>
      <c r="BJ23" s="106"/>
      <c r="BK23" s="169" t="s">
        <v>221</v>
      </c>
      <c r="BL23" s="130"/>
      <c r="BM23" s="130"/>
      <c r="BN23" s="130"/>
      <c r="BO23" s="130"/>
      <c r="BP23" s="130"/>
      <c r="BQ23" s="130"/>
      <c r="BR23" s="709">
        <f>IF(ISERROR(HLOOKUP(BP21,$DP$21:$DT$26,3)),0,HLOOKUP(BP21,$DP$21:$DT$26,3))</f>
        <v>0</v>
      </c>
      <c r="BS23" s="611"/>
      <c r="BT23" s="611"/>
      <c r="BU23" s="710"/>
      <c r="BV23" s="107"/>
      <c r="BW23" s="108"/>
      <c r="BX23" s="106"/>
      <c r="BY23" s="106"/>
      <c r="BZ23" s="106"/>
      <c r="CA23" s="707" t="s">
        <v>173</v>
      </c>
      <c r="CB23" s="554"/>
      <c r="CC23" s="554"/>
      <c r="CD23" s="554"/>
      <c r="CE23" s="554"/>
      <c r="CF23" s="554"/>
      <c r="CG23" s="554"/>
      <c r="CH23" s="689">
        <f t="shared" ref="CH23:CH26" si="2">DC23</f>
        <v>0</v>
      </c>
      <c r="CI23" s="689"/>
      <c r="CJ23" s="689"/>
      <c r="CK23" s="689"/>
      <c r="CL23" s="222" t="s">
        <v>135</v>
      </c>
      <c r="CM23" s="708"/>
      <c r="CN23" s="708"/>
      <c r="CO23" s="222" t="s">
        <v>102</v>
      </c>
      <c r="CP23" s="689">
        <f>ROUND(CH23*CM23,1)</f>
        <v>0</v>
      </c>
      <c r="CQ23" s="689"/>
      <c r="CR23" s="689"/>
      <c r="CS23" s="689"/>
      <c r="CT23" s="106"/>
      <c r="CU23" s="106"/>
      <c r="CV23" s="169" t="s">
        <v>221</v>
      </c>
      <c r="CW23" s="130"/>
      <c r="CX23" s="130"/>
      <c r="CY23" s="130"/>
      <c r="CZ23" s="130"/>
      <c r="DA23" s="130"/>
      <c r="DB23" s="130"/>
      <c r="DC23" s="709">
        <f>IF(ISERROR(HLOOKUP(DA21,$DP$21:$DT$26,3)),0,HLOOKUP(DA21,$DP$21:$DT$26,3))</f>
        <v>0</v>
      </c>
      <c r="DD23" s="611"/>
      <c r="DE23" s="611"/>
      <c r="DF23" s="710"/>
      <c r="DG23" s="107"/>
      <c r="DH23" s="106"/>
      <c r="DI23" s="106"/>
      <c r="DJ23" s="106"/>
      <c r="DK23" s="106"/>
      <c r="DL23" s="222"/>
      <c r="DM23" s="3"/>
      <c r="DN23" s="3"/>
      <c r="DO23" s="196" t="s">
        <v>43</v>
      </c>
      <c r="DP23" s="193">
        <v>5.7</v>
      </c>
      <c r="DQ23" s="193">
        <v>7.6</v>
      </c>
      <c r="DR23" s="193">
        <v>12</v>
      </c>
      <c r="DS23" s="193">
        <v>15</v>
      </c>
      <c r="DT23" s="193">
        <v>19</v>
      </c>
      <c r="DU23" s="102"/>
      <c r="DV23" s="102"/>
      <c r="DW23" s="105">
        <v>14</v>
      </c>
      <c r="DX23" s="104">
        <v>7.5</v>
      </c>
      <c r="DY23" s="102">
        <v>48.699999999999982</v>
      </c>
      <c r="DZ23" s="293">
        <v>0.37</v>
      </c>
      <c r="EA23" s="102">
        <v>1.8</v>
      </c>
    </row>
    <row r="24" spans="1:131" x14ac:dyDescent="0.15">
      <c r="A24" s="108"/>
      <c r="B24" s="106"/>
      <c r="C24" s="106"/>
      <c r="D24" s="106"/>
      <c r="E24" s="711" t="s">
        <v>171</v>
      </c>
      <c r="F24" s="712"/>
      <c r="G24" s="712"/>
      <c r="H24" s="712"/>
      <c r="I24" s="712"/>
      <c r="J24" s="712"/>
      <c r="K24" s="712"/>
      <c r="L24" s="689">
        <f t="shared" si="0"/>
        <v>0</v>
      </c>
      <c r="M24" s="689"/>
      <c r="N24" s="689"/>
      <c r="O24" s="689"/>
      <c r="P24" s="222" t="s">
        <v>135</v>
      </c>
      <c r="Q24" s="708"/>
      <c r="R24" s="708"/>
      <c r="S24" s="222" t="s">
        <v>102</v>
      </c>
      <c r="T24" s="689">
        <f>ROUND(L24*Q24,1)</f>
        <v>0</v>
      </c>
      <c r="U24" s="689"/>
      <c r="V24" s="689"/>
      <c r="W24" s="689"/>
      <c r="X24" s="106"/>
      <c r="Y24" s="106"/>
      <c r="Z24" s="170" t="s">
        <v>222</v>
      </c>
      <c r="AA24" s="171"/>
      <c r="AB24" s="171"/>
      <c r="AC24" s="171"/>
      <c r="AD24" s="171"/>
      <c r="AE24" s="171"/>
      <c r="AF24" s="171"/>
      <c r="AG24" s="709">
        <f>IF(ISERROR(HLOOKUP(AE21,$DP$21:$DT$26,4)),0,HLOOKUP(AE21,$DP$21:$DT$26,4))</f>
        <v>0</v>
      </c>
      <c r="AH24" s="611"/>
      <c r="AI24" s="611"/>
      <c r="AJ24" s="710"/>
      <c r="AK24" s="107"/>
      <c r="AL24" s="108"/>
      <c r="AM24" s="106"/>
      <c r="AN24" s="106"/>
      <c r="AO24" s="106"/>
      <c r="AP24" s="711" t="s">
        <v>171</v>
      </c>
      <c r="AQ24" s="712"/>
      <c r="AR24" s="712"/>
      <c r="AS24" s="712"/>
      <c r="AT24" s="712"/>
      <c r="AU24" s="712"/>
      <c r="AV24" s="712"/>
      <c r="AW24" s="689">
        <f t="shared" si="1"/>
        <v>0</v>
      </c>
      <c r="AX24" s="689"/>
      <c r="AY24" s="689"/>
      <c r="AZ24" s="689"/>
      <c r="BA24" s="222" t="s">
        <v>135</v>
      </c>
      <c r="BB24" s="708"/>
      <c r="BC24" s="708"/>
      <c r="BD24" s="222" t="s">
        <v>102</v>
      </c>
      <c r="BE24" s="689">
        <f>ROUND(AW24*BB24,1)</f>
        <v>0</v>
      </c>
      <c r="BF24" s="689"/>
      <c r="BG24" s="689"/>
      <c r="BH24" s="689"/>
      <c r="BI24" s="106"/>
      <c r="BJ24" s="106"/>
      <c r="BK24" s="170" t="s">
        <v>222</v>
      </c>
      <c r="BL24" s="171"/>
      <c r="BM24" s="171"/>
      <c r="BN24" s="171"/>
      <c r="BO24" s="171"/>
      <c r="BP24" s="171"/>
      <c r="BQ24" s="171"/>
      <c r="BR24" s="709">
        <f>IF(ISERROR(HLOOKUP(BP21,$DP$21:$DT$26,4)),0,HLOOKUP(BP21,$DP$21:$DT$26,4))</f>
        <v>0</v>
      </c>
      <c r="BS24" s="611"/>
      <c r="BT24" s="611"/>
      <c r="BU24" s="710"/>
      <c r="BV24" s="107"/>
      <c r="BW24" s="108"/>
      <c r="BX24" s="106"/>
      <c r="BY24" s="106"/>
      <c r="BZ24" s="106"/>
      <c r="CA24" s="711" t="s">
        <v>171</v>
      </c>
      <c r="CB24" s="712"/>
      <c r="CC24" s="712"/>
      <c r="CD24" s="712"/>
      <c r="CE24" s="712"/>
      <c r="CF24" s="712"/>
      <c r="CG24" s="712"/>
      <c r="CH24" s="689">
        <f t="shared" si="2"/>
        <v>0</v>
      </c>
      <c r="CI24" s="689"/>
      <c r="CJ24" s="689"/>
      <c r="CK24" s="689"/>
      <c r="CL24" s="222" t="s">
        <v>135</v>
      </c>
      <c r="CM24" s="708"/>
      <c r="CN24" s="708"/>
      <c r="CO24" s="222" t="s">
        <v>102</v>
      </c>
      <c r="CP24" s="689">
        <f>ROUND(CH24*CM24,1)</f>
        <v>0</v>
      </c>
      <c r="CQ24" s="689"/>
      <c r="CR24" s="689"/>
      <c r="CS24" s="689"/>
      <c r="CT24" s="106"/>
      <c r="CU24" s="106"/>
      <c r="CV24" s="170" t="s">
        <v>222</v>
      </c>
      <c r="CW24" s="171"/>
      <c r="CX24" s="171"/>
      <c r="CY24" s="171"/>
      <c r="CZ24" s="171"/>
      <c r="DA24" s="171"/>
      <c r="DB24" s="171"/>
      <c r="DC24" s="709">
        <f>IF(ISERROR(HLOOKUP(DA21,$DP$21:$DT$26,4)),0,HLOOKUP(DA21,$DP$21:$DT$26,4))</f>
        <v>0</v>
      </c>
      <c r="DD24" s="611"/>
      <c r="DE24" s="611"/>
      <c r="DF24" s="710"/>
      <c r="DG24" s="107"/>
      <c r="DH24" s="106"/>
      <c r="DI24" s="106"/>
      <c r="DJ24" s="106"/>
      <c r="DK24" s="106"/>
      <c r="DL24" s="222"/>
      <c r="DM24" s="3"/>
      <c r="DN24" s="3"/>
      <c r="DO24" s="196" t="s">
        <v>170</v>
      </c>
      <c r="DP24" s="193">
        <v>12</v>
      </c>
      <c r="DQ24" s="193">
        <v>17</v>
      </c>
      <c r="DR24" s="193">
        <v>24</v>
      </c>
      <c r="DS24" s="193">
        <v>33</v>
      </c>
      <c r="DT24" s="193">
        <v>43</v>
      </c>
      <c r="DU24" s="102"/>
      <c r="DV24" s="102"/>
      <c r="DW24" s="105">
        <v>15</v>
      </c>
      <c r="DX24" s="104">
        <v>8</v>
      </c>
      <c r="DY24" s="102">
        <v>48.59999999999998</v>
      </c>
      <c r="DZ24" s="293">
        <v>0.36</v>
      </c>
      <c r="EA24" s="102">
        <v>1.9</v>
      </c>
    </row>
    <row r="25" spans="1:131" x14ac:dyDescent="0.15">
      <c r="A25" s="108"/>
      <c r="B25" s="106"/>
      <c r="C25" s="106"/>
      <c r="D25" s="106"/>
      <c r="E25" s="707" t="s">
        <v>169</v>
      </c>
      <c r="F25" s="554"/>
      <c r="G25" s="554"/>
      <c r="H25" s="554"/>
      <c r="I25" s="554"/>
      <c r="J25" s="554"/>
      <c r="K25" s="554"/>
      <c r="L25" s="689">
        <f t="shared" si="0"/>
        <v>0</v>
      </c>
      <c r="M25" s="689"/>
      <c r="N25" s="689"/>
      <c r="O25" s="689"/>
      <c r="P25" s="222" t="s">
        <v>135</v>
      </c>
      <c r="Q25" s="708"/>
      <c r="R25" s="708"/>
      <c r="S25" s="222" t="s">
        <v>102</v>
      </c>
      <c r="T25" s="689">
        <f>ROUND(L25*Q25,1)</f>
        <v>0</v>
      </c>
      <c r="U25" s="689"/>
      <c r="V25" s="689"/>
      <c r="W25" s="689"/>
      <c r="X25" s="106"/>
      <c r="Y25" s="106"/>
      <c r="Z25" s="172" t="s">
        <v>223</v>
      </c>
      <c r="AA25" s="168"/>
      <c r="AB25" s="168"/>
      <c r="AC25" s="168"/>
      <c r="AD25" s="168"/>
      <c r="AE25" s="168"/>
      <c r="AF25" s="168"/>
      <c r="AG25" s="709">
        <f>IF(ISERROR(HLOOKUP(AE21,$DP$21:$DT$26,5)),0,HLOOKUP(AE21,$DP$21:$DT$26,5))</f>
        <v>0</v>
      </c>
      <c r="AH25" s="611"/>
      <c r="AI25" s="611"/>
      <c r="AJ25" s="710"/>
      <c r="AK25" s="107"/>
      <c r="AL25" s="108"/>
      <c r="AM25" s="106"/>
      <c r="AN25" s="106"/>
      <c r="AO25" s="106"/>
      <c r="AP25" s="707" t="s">
        <v>169</v>
      </c>
      <c r="AQ25" s="554"/>
      <c r="AR25" s="554"/>
      <c r="AS25" s="554"/>
      <c r="AT25" s="554"/>
      <c r="AU25" s="554"/>
      <c r="AV25" s="554"/>
      <c r="AW25" s="689">
        <f t="shared" si="1"/>
        <v>0</v>
      </c>
      <c r="AX25" s="689"/>
      <c r="AY25" s="689"/>
      <c r="AZ25" s="689"/>
      <c r="BA25" s="222" t="s">
        <v>135</v>
      </c>
      <c r="BB25" s="708"/>
      <c r="BC25" s="708"/>
      <c r="BD25" s="222" t="s">
        <v>102</v>
      </c>
      <c r="BE25" s="689">
        <f>ROUND(AW25*BB25,1)</f>
        <v>0</v>
      </c>
      <c r="BF25" s="689"/>
      <c r="BG25" s="689"/>
      <c r="BH25" s="689"/>
      <c r="BI25" s="106"/>
      <c r="BJ25" s="106"/>
      <c r="BK25" s="172" t="s">
        <v>223</v>
      </c>
      <c r="BL25" s="168"/>
      <c r="BM25" s="168"/>
      <c r="BN25" s="168"/>
      <c r="BO25" s="168"/>
      <c r="BP25" s="168"/>
      <c r="BQ25" s="168"/>
      <c r="BR25" s="709">
        <f>IF(ISERROR(HLOOKUP(BP21,$DP$21:$DT$26,5)),0,HLOOKUP(BP21,$DP$21:$DT$26,5))</f>
        <v>0</v>
      </c>
      <c r="BS25" s="611"/>
      <c r="BT25" s="611"/>
      <c r="BU25" s="710"/>
      <c r="BV25" s="107"/>
      <c r="BW25" s="108"/>
      <c r="BX25" s="106"/>
      <c r="BY25" s="106"/>
      <c r="BZ25" s="106"/>
      <c r="CA25" s="707" t="s">
        <v>169</v>
      </c>
      <c r="CB25" s="554"/>
      <c r="CC25" s="554"/>
      <c r="CD25" s="554"/>
      <c r="CE25" s="554"/>
      <c r="CF25" s="554"/>
      <c r="CG25" s="554"/>
      <c r="CH25" s="689">
        <f t="shared" si="2"/>
        <v>0</v>
      </c>
      <c r="CI25" s="689"/>
      <c r="CJ25" s="689"/>
      <c r="CK25" s="689"/>
      <c r="CL25" s="222" t="s">
        <v>135</v>
      </c>
      <c r="CM25" s="708"/>
      <c r="CN25" s="708"/>
      <c r="CO25" s="222" t="s">
        <v>102</v>
      </c>
      <c r="CP25" s="689">
        <f>ROUND(CH25*CM25,1)</f>
        <v>0</v>
      </c>
      <c r="CQ25" s="689"/>
      <c r="CR25" s="689"/>
      <c r="CS25" s="689"/>
      <c r="CT25" s="106"/>
      <c r="CU25" s="106"/>
      <c r="CV25" s="172" t="s">
        <v>223</v>
      </c>
      <c r="CW25" s="168"/>
      <c r="CX25" s="168"/>
      <c r="CY25" s="168"/>
      <c r="CZ25" s="168"/>
      <c r="DA25" s="168"/>
      <c r="DB25" s="168"/>
      <c r="DC25" s="709">
        <f>IF(ISERROR(HLOOKUP(DA21,$DP$21:$DT$26,5)),0,HLOOKUP(DA21,$DP$21:$DT$26,5))</f>
        <v>0</v>
      </c>
      <c r="DD25" s="611"/>
      <c r="DE25" s="611"/>
      <c r="DF25" s="710"/>
      <c r="DG25" s="107"/>
      <c r="DH25" s="106"/>
      <c r="DI25" s="106"/>
      <c r="DJ25" s="106"/>
      <c r="DK25" s="106"/>
      <c r="DL25" s="222"/>
      <c r="DM25" s="3"/>
      <c r="DN25" s="3"/>
      <c r="DO25" s="196" t="s">
        <v>168</v>
      </c>
      <c r="DP25" s="193">
        <v>55</v>
      </c>
      <c r="DQ25" s="193">
        <v>120</v>
      </c>
      <c r="DR25" s="193">
        <v>250</v>
      </c>
      <c r="DS25" s="193"/>
      <c r="DT25" s="193"/>
      <c r="DU25" s="102"/>
      <c r="DV25" s="102"/>
      <c r="DW25" s="105">
        <v>16</v>
      </c>
      <c r="DX25" s="104">
        <v>8.5</v>
      </c>
      <c r="DY25" s="102">
        <v>48.499999999999979</v>
      </c>
      <c r="DZ25" s="293">
        <v>0.35</v>
      </c>
      <c r="EA25" s="102">
        <v>2</v>
      </c>
    </row>
    <row r="26" spans="1:131" x14ac:dyDescent="0.15">
      <c r="A26" s="108"/>
      <c r="B26" s="106"/>
      <c r="C26" s="106"/>
      <c r="D26" s="106"/>
      <c r="E26" s="711" t="s">
        <v>167</v>
      </c>
      <c r="F26" s="712"/>
      <c r="G26" s="712"/>
      <c r="H26" s="712"/>
      <c r="I26" s="712"/>
      <c r="J26" s="712"/>
      <c r="K26" s="712"/>
      <c r="L26" s="689">
        <f t="shared" si="0"/>
        <v>0</v>
      </c>
      <c r="M26" s="689"/>
      <c r="N26" s="689"/>
      <c r="O26" s="689"/>
      <c r="P26" s="222" t="s">
        <v>135</v>
      </c>
      <c r="Q26" s="708"/>
      <c r="R26" s="708"/>
      <c r="S26" s="222" t="s">
        <v>102</v>
      </c>
      <c r="T26" s="689">
        <f>ROUND(L26*Q26,1)</f>
        <v>0</v>
      </c>
      <c r="U26" s="689"/>
      <c r="V26" s="689"/>
      <c r="W26" s="689"/>
      <c r="X26" s="106"/>
      <c r="Y26" s="106"/>
      <c r="Z26" s="173" t="s">
        <v>224</v>
      </c>
      <c r="AA26" s="174"/>
      <c r="AB26" s="174"/>
      <c r="AC26" s="174"/>
      <c r="AD26" s="174"/>
      <c r="AE26" s="174"/>
      <c r="AF26" s="174"/>
      <c r="AG26" s="709">
        <f>IF(ISERROR(HLOOKUP(AE21,$DP$21:$DT$26,6)),0,HLOOKUP(AE21,$DP$21:$DT$26,6))</f>
        <v>0</v>
      </c>
      <c r="AH26" s="611"/>
      <c r="AI26" s="611"/>
      <c r="AJ26" s="710"/>
      <c r="AK26" s="107"/>
      <c r="AL26" s="108"/>
      <c r="AM26" s="106"/>
      <c r="AN26" s="106"/>
      <c r="AO26" s="106"/>
      <c r="AP26" s="711" t="s">
        <v>167</v>
      </c>
      <c r="AQ26" s="712"/>
      <c r="AR26" s="712"/>
      <c r="AS26" s="712"/>
      <c r="AT26" s="712"/>
      <c r="AU26" s="712"/>
      <c r="AV26" s="712"/>
      <c r="AW26" s="689">
        <f t="shared" si="1"/>
        <v>0</v>
      </c>
      <c r="AX26" s="689"/>
      <c r="AY26" s="689"/>
      <c r="AZ26" s="689"/>
      <c r="BA26" s="222" t="s">
        <v>135</v>
      </c>
      <c r="BB26" s="708"/>
      <c r="BC26" s="708"/>
      <c r="BD26" s="222" t="s">
        <v>102</v>
      </c>
      <c r="BE26" s="689">
        <f>ROUND(AW26*BB26,1)</f>
        <v>0</v>
      </c>
      <c r="BF26" s="689"/>
      <c r="BG26" s="689"/>
      <c r="BH26" s="689"/>
      <c r="BI26" s="106"/>
      <c r="BJ26" s="106"/>
      <c r="BK26" s="173" t="s">
        <v>167</v>
      </c>
      <c r="BL26" s="174"/>
      <c r="BM26" s="174"/>
      <c r="BN26" s="174"/>
      <c r="BO26" s="174"/>
      <c r="BP26" s="174"/>
      <c r="BQ26" s="174"/>
      <c r="BR26" s="709">
        <f>IF(ISERROR(HLOOKUP(BP21,$DP$21:$DT$26,6)),0,HLOOKUP(BP21,$DP$21:$DT$26,6))</f>
        <v>0</v>
      </c>
      <c r="BS26" s="611"/>
      <c r="BT26" s="611"/>
      <c r="BU26" s="710"/>
      <c r="BV26" s="107"/>
      <c r="BW26" s="108"/>
      <c r="BX26" s="106"/>
      <c r="BY26" s="106"/>
      <c r="BZ26" s="106"/>
      <c r="CA26" s="711" t="s">
        <v>167</v>
      </c>
      <c r="CB26" s="712"/>
      <c r="CC26" s="712"/>
      <c r="CD26" s="712"/>
      <c r="CE26" s="712"/>
      <c r="CF26" s="712"/>
      <c r="CG26" s="712"/>
      <c r="CH26" s="689">
        <f t="shared" si="2"/>
        <v>0</v>
      </c>
      <c r="CI26" s="689"/>
      <c r="CJ26" s="689"/>
      <c r="CK26" s="689"/>
      <c r="CL26" s="222" t="s">
        <v>135</v>
      </c>
      <c r="CM26" s="708"/>
      <c r="CN26" s="708"/>
      <c r="CO26" s="222" t="s">
        <v>102</v>
      </c>
      <c r="CP26" s="689">
        <f>ROUND(CH26*CM26,1)</f>
        <v>0</v>
      </c>
      <c r="CQ26" s="689"/>
      <c r="CR26" s="689"/>
      <c r="CS26" s="689"/>
      <c r="CT26" s="106"/>
      <c r="CU26" s="106"/>
      <c r="CV26" s="173" t="s">
        <v>167</v>
      </c>
      <c r="CW26" s="174"/>
      <c r="CX26" s="174"/>
      <c r="CY26" s="174"/>
      <c r="CZ26" s="174"/>
      <c r="DA26" s="174"/>
      <c r="DB26" s="174"/>
      <c r="DC26" s="709">
        <f>IF(ISERROR(HLOOKUP(DA21,$DP$21:$DT$26,6)),0,HLOOKUP(DA21,$DP$21:$DT$26,6))</f>
        <v>0</v>
      </c>
      <c r="DD26" s="611"/>
      <c r="DE26" s="611"/>
      <c r="DF26" s="710"/>
      <c r="DG26" s="107"/>
      <c r="DH26" s="106"/>
      <c r="DI26" s="106"/>
      <c r="DJ26" s="106"/>
      <c r="DK26" s="106"/>
      <c r="DL26" s="222"/>
      <c r="DM26" s="3"/>
      <c r="DN26" s="3"/>
      <c r="DO26" s="196" t="s">
        <v>166</v>
      </c>
      <c r="DP26" s="193">
        <v>20</v>
      </c>
      <c r="DQ26" s="193">
        <v>40</v>
      </c>
      <c r="DR26" s="193">
        <v>130</v>
      </c>
      <c r="DS26" s="193"/>
      <c r="DT26" s="193"/>
      <c r="DU26" s="102"/>
      <c r="DV26" s="102"/>
      <c r="DW26" s="105">
        <v>17</v>
      </c>
      <c r="DX26" s="104">
        <v>9</v>
      </c>
      <c r="DY26" s="102">
        <v>48.399999999999977</v>
      </c>
      <c r="DZ26" s="293">
        <v>0.34</v>
      </c>
      <c r="EA26" s="102">
        <v>2.1</v>
      </c>
    </row>
    <row r="27" spans="1:131" x14ac:dyDescent="0.15">
      <c r="A27" s="108"/>
      <c r="B27" s="106"/>
      <c r="C27" s="106"/>
      <c r="D27" s="106"/>
      <c r="E27" s="221" t="s">
        <v>165</v>
      </c>
      <c r="F27" s="222"/>
      <c r="G27" s="222"/>
      <c r="H27" s="222"/>
      <c r="I27" s="222"/>
      <c r="J27" s="222"/>
      <c r="K27" s="222"/>
      <c r="L27" s="106"/>
      <c r="M27" s="106"/>
      <c r="N27" s="106"/>
      <c r="O27" s="106"/>
      <c r="P27" s="106"/>
      <c r="Q27" s="106"/>
      <c r="R27" s="106"/>
      <c r="S27" s="106"/>
      <c r="T27" s="689">
        <f>ROUND(SUM(T22:W26),1)</f>
        <v>0</v>
      </c>
      <c r="U27" s="689"/>
      <c r="V27" s="689"/>
      <c r="W27" s="689"/>
      <c r="X27" s="554" t="s">
        <v>101</v>
      </c>
      <c r="Y27" s="554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7"/>
      <c r="AL27" s="108"/>
      <c r="AM27" s="106"/>
      <c r="AN27" s="106"/>
      <c r="AO27" s="106"/>
      <c r="AP27" s="221" t="s">
        <v>165</v>
      </c>
      <c r="AQ27" s="222"/>
      <c r="AR27" s="222"/>
      <c r="AS27" s="222"/>
      <c r="AT27" s="222"/>
      <c r="AU27" s="222"/>
      <c r="AV27" s="222"/>
      <c r="AW27" s="106"/>
      <c r="AX27" s="106"/>
      <c r="AY27" s="106"/>
      <c r="AZ27" s="106"/>
      <c r="BA27" s="106"/>
      <c r="BB27" s="106"/>
      <c r="BC27" s="106"/>
      <c r="BD27" s="106"/>
      <c r="BE27" s="689">
        <f>ROUND(SUM(BE22:BH26),1)</f>
        <v>0</v>
      </c>
      <c r="BF27" s="689"/>
      <c r="BG27" s="689"/>
      <c r="BH27" s="689"/>
      <c r="BI27" s="554" t="s">
        <v>101</v>
      </c>
      <c r="BJ27" s="554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7"/>
      <c r="BW27" s="108"/>
      <c r="BX27" s="106"/>
      <c r="BY27" s="106"/>
      <c r="BZ27" s="106"/>
      <c r="CA27" s="221" t="s">
        <v>165</v>
      </c>
      <c r="CB27" s="222"/>
      <c r="CC27" s="222"/>
      <c r="CD27" s="222"/>
      <c r="CE27" s="222"/>
      <c r="CF27" s="222"/>
      <c r="CG27" s="222"/>
      <c r="CH27" s="106"/>
      <c r="CI27" s="106"/>
      <c r="CJ27" s="106"/>
      <c r="CK27" s="106"/>
      <c r="CL27" s="106"/>
      <c r="CM27" s="106"/>
      <c r="CN27" s="106"/>
      <c r="CO27" s="106"/>
      <c r="CP27" s="689">
        <f>ROUND(SUM(CP22:CS26),1)</f>
        <v>0</v>
      </c>
      <c r="CQ27" s="689"/>
      <c r="CR27" s="689"/>
      <c r="CS27" s="689"/>
      <c r="CT27" s="554" t="s">
        <v>101</v>
      </c>
      <c r="CU27" s="554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7"/>
      <c r="DH27" s="106"/>
      <c r="DI27" s="106"/>
      <c r="DJ27" s="106"/>
      <c r="DK27" s="106"/>
      <c r="DL27" s="222"/>
      <c r="DM27" s="3"/>
      <c r="DN27" s="3"/>
      <c r="DO27" s="102"/>
      <c r="DP27" s="102"/>
      <c r="DQ27" s="102"/>
      <c r="DR27" s="102"/>
      <c r="DS27" s="102"/>
      <c r="DT27" s="102"/>
      <c r="DU27" s="102"/>
      <c r="DV27" s="102"/>
      <c r="DW27" s="105">
        <v>18</v>
      </c>
      <c r="DX27" s="104">
        <v>9.5</v>
      </c>
      <c r="DY27" s="102">
        <v>48.299999999999976</v>
      </c>
      <c r="DZ27" s="293">
        <v>0.33</v>
      </c>
      <c r="EA27" s="102">
        <v>2.2000000000000002</v>
      </c>
    </row>
    <row r="28" spans="1:131" ht="11.25" customHeight="1" x14ac:dyDescent="0.15">
      <c r="A28" s="108"/>
      <c r="B28" s="106"/>
      <c r="C28" s="106"/>
      <c r="D28" s="106"/>
      <c r="E28" s="533" t="s">
        <v>240</v>
      </c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690"/>
      <c r="R28" s="690"/>
      <c r="S28" s="690"/>
      <c r="T28" s="690"/>
      <c r="U28" s="690"/>
      <c r="V28" s="690"/>
      <c r="W28" s="356" t="s">
        <v>103</v>
      </c>
      <c r="X28" s="692">
        <f>T27</f>
        <v>0</v>
      </c>
      <c r="Y28" s="692"/>
      <c r="Z28" s="692"/>
      <c r="AA28" s="692"/>
      <c r="AB28" s="356" t="s">
        <v>102</v>
      </c>
      <c r="AC28" s="694">
        <f>ROUND(Q28+X28,1)</f>
        <v>0</v>
      </c>
      <c r="AD28" s="694"/>
      <c r="AE28" s="694"/>
      <c r="AF28" s="694"/>
      <c r="AG28" s="694"/>
      <c r="AH28" s="694"/>
      <c r="AI28" s="106"/>
      <c r="AJ28" s="222"/>
      <c r="AK28" s="7"/>
      <c r="AL28" s="108"/>
      <c r="AM28" s="106"/>
      <c r="AN28" s="106"/>
      <c r="AO28" s="106"/>
      <c r="AP28" s="533" t="s">
        <v>240</v>
      </c>
      <c r="AQ28" s="356"/>
      <c r="AR28" s="356"/>
      <c r="AS28" s="356"/>
      <c r="AT28" s="356"/>
      <c r="AU28" s="356"/>
      <c r="AV28" s="356"/>
      <c r="AW28" s="356"/>
      <c r="AX28" s="356"/>
      <c r="AY28" s="356"/>
      <c r="AZ28" s="356"/>
      <c r="BA28" s="356"/>
      <c r="BB28" s="690"/>
      <c r="BC28" s="690"/>
      <c r="BD28" s="690"/>
      <c r="BE28" s="690"/>
      <c r="BF28" s="690"/>
      <c r="BG28" s="690"/>
      <c r="BH28" s="356" t="s">
        <v>24</v>
      </c>
      <c r="BI28" s="692">
        <f>BE27</f>
        <v>0</v>
      </c>
      <c r="BJ28" s="692"/>
      <c r="BK28" s="692"/>
      <c r="BL28" s="692"/>
      <c r="BM28" s="356" t="s">
        <v>102</v>
      </c>
      <c r="BN28" s="694">
        <f>ROUND(BB28+BI28,1)</f>
        <v>0</v>
      </c>
      <c r="BO28" s="694"/>
      <c r="BP28" s="694"/>
      <c r="BQ28" s="694"/>
      <c r="BR28" s="694"/>
      <c r="BS28" s="694"/>
      <c r="BT28" s="106"/>
      <c r="BU28" s="222"/>
      <c r="BV28" s="7"/>
      <c r="BW28" s="108"/>
      <c r="BX28" s="106"/>
      <c r="BY28" s="106"/>
      <c r="BZ28" s="106"/>
      <c r="CA28" s="533" t="s">
        <v>240</v>
      </c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690"/>
      <c r="CN28" s="690"/>
      <c r="CO28" s="690"/>
      <c r="CP28" s="690"/>
      <c r="CQ28" s="690"/>
      <c r="CR28" s="690"/>
      <c r="CS28" s="356" t="s">
        <v>24</v>
      </c>
      <c r="CT28" s="692">
        <f>CP27</f>
        <v>0</v>
      </c>
      <c r="CU28" s="692"/>
      <c r="CV28" s="692"/>
      <c r="CW28" s="692"/>
      <c r="CX28" s="356" t="s">
        <v>102</v>
      </c>
      <c r="CY28" s="694">
        <f>ROUND(CM28+CT28,1)</f>
        <v>0</v>
      </c>
      <c r="CZ28" s="694"/>
      <c r="DA28" s="694"/>
      <c r="DB28" s="694"/>
      <c r="DC28" s="694"/>
      <c r="DD28" s="694"/>
      <c r="DE28" s="106"/>
      <c r="DF28" s="222"/>
      <c r="DG28" s="7"/>
      <c r="DH28" s="222"/>
      <c r="DI28" s="222"/>
      <c r="DJ28" s="222"/>
      <c r="DK28" s="222"/>
      <c r="DL28" s="222"/>
      <c r="DM28" s="3"/>
      <c r="DN28" s="3"/>
      <c r="DO28" s="3"/>
      <c r="DP28" s="102"/>
      <c r="DQ28" s="102"/>
      <c r="DR28" s="102" t="s">
        <v>164</v>
      </c>
      <c r="DS28" s="102"/>
      <c r="DT28" s="102"/>
      <c r="DU28" s="102"/>
      <c r="DV28" s="102"/>
      <c r="DW28" s="105">
        <v>19</v>
      </c>
      <c r="DX28" s="104">
        <v>10</v>
      </c>
      <c r="DY28" s="102">
        <v>48.199999999999974</v>
      </c>
      <c r="DZ28" s="293">
        <v>0.32</v>
      </c>
      <c r="EA28" s="102">
        <v>2.2999999999999998</v>
      </c>
    </row>
    <row r="29" spans="1:131" ht="10.5" customHeight="1" x14ac:dyDescent="0.15">
      <c r="A29" s="108"/>
      <c r="B29" s="106"/>
      <c r="C29" s="106"/>
      <c r="D29" s="106"/>
      <c r="E29" s="332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691"/>
      <c r="R29" s="691"/>
      <c r="S29" s="691"/>
      <c r="T29" s="691"/>
      <c r="U29" s="691"/>
      <c r="V29" s="691"/>
      <c r="W29" s="333"/>
      <c r="X29" s="693"/>
      <c r="Y29" s="693"/>
      <c r="Z29" s="693"/>
      <c r="AA29" s="693"/>
      <c r="AB29" s="333"/>
      <c r="AC29" s="695"/>
      <c r="AD29" s="695"/>
      <c r="AE29" s="695"/>
      <c r="AF29" s="695"/>
      <c r="AG29" s="695"/>
      <c r="AH29" s="695"/>
      <c r="AI29" s="138"/>
      <c r="AJ29" s="8"/>
      <c r="AK29" s="16"/>
      <c r="AL29" s="108"/>
      <c r="AM29" s="106"/>
      <c r="AN29" s="106"/>
      <c r="AO29" s="106"/>
      <c r="AP29" s="332"/>
      <c r="AQ29" s="333"/>
      <c r="AR29" s="333"/>
      <c r="AS29" s="333"/>
      <c r="AT29" s="333"/>
      <c r="AU29" s="333"/>
      <c r="AV29" s="333"/>
      <c r="AW29" s="333"/>
      <c r="AX29" s="333"/>
      <c r="AY29" s="333"/>
      <c r="AZ29" s="333"/>
      <c r="BA29" s="333"/>
      <c r="BB29" s="691"/>
      <c r="BC29" s="691"/>
      <c r="BD29" s="691"/>
      <c r="BE29" s="691"/>
      <c r="BF29" s="691"/>
      <c r="BG29" s="691"/>
      <c r="BH29" s="333"/>
      <c r="BI29" s="693"/>
      <c r="BJ29" s="693"/>
      <c r="BK29" s="693"/>
      <c r="BL29" s="693"/>
      <c r="BM29" s="333"/>
      <c r="BN29" s="695"/>
      <c r="BO29" s="695"/>
      <c r="BP29" s="695"/>
      <c r="BQ29" s="695"/>
      <c r="BR29" s="695"/>
      <c r="BS29" s="695"/>
      <c r="BT29" s="138"/>
      <c r="BU29" s="8"/>
      <c r="BV29" s="16"/>
      <c r="BW29" s="108"/>
      <c r="BX29" s="106"/>
      <c r="BY29" s="106"/>
      <c r="BZ29" s="106"/>
      <c r="CA29" s="332"/>
      <c r="CB29" s="333"/>
      <c r="CC29" s="333"/>
      <c r="CD29" s="333"/>
      <c r="CE29" s="333"/>
      <c r="CF29" s="333"/>
      <c r="CG29" s="333"/>
      <c r="CH29" s="333"/>
      <c r="CI29" s="333"/>
      <c r="CJ29" s="333"/>
      <c r="CK29" s="333"/>
      <c r="CL29" s="333"/>
      <c r="CM29" s="691"/>
      <c r="CN29" s="691"/>
      <c r="CO29" s="691"/>
      <c r="CP29" s="691"/>
      <c r="CQ29" s="691"/>
      <c r="CR29" s="691"/>
      <c r="CS29" s="333"/>
      <c r="CT29" s="693"/>
      <c r="CU29" s="693"/>
      <c r="CV29" s="693"/>
      <c r="CW29" s="693"/>
      <c r="CX29" s="333"/>
      <c r="CY29" s="695"/>
      <c r="CZ29" s="695"/>
      <c r="DA29" s="695"/>
      <c r="DB29" s="695"/>
      <c r="DC29" s="695"/>
      <c r="DD29" s="695"/>
      <c r="DE29" s="138"/>
      <c r="DF29" s="8"/>
      <c r="DG29" s="16"/>
      <c r="DH29" s="222"/>
      <c r="DI29" s="222"/>
      <c r="DJ29" s="222"/>
      <c r="DK29" s="222"/>
      <c r="DL29" s="222"/>
      <c r="DM29" s="3"/>
      <c r="DN29" s="3"/>
      <c r="DO29" s="3"/>
      <c r="DP29" s="102"/>
      <c r="DQ29" s="102"/>
      <c r="DR29" s="102"/>
      <c r="DS29" s="102"/>
      <c r="DT29" s="102"/>
      <c r="DU29" s="102"/>
      <c r="DV29" s="102"/>
      <c r="DW29" s="105">
        <v>20</v>
      </c>
      <c r="DX29" s="104">
        <v>10.5</v>
      </c>
      <c r="DY29" s="102">
        <v>48.099999999999973</v>
      </c>
      <c r="DZ29" s="293">
        <v>0.31</v>
      </c>
      <c r="EA29" s="102">
        <v>2.4</v>
      </c>
    </row>
    <row r="30" spans="1:131" x14ac:dyDescent="0.15">
      <c r="A30" s="108"/>
      <c r="B30" s="106"/>
      <c r="C30" s="106"/>
      <c r="D30" s="106"/>
      <c r="E30" s="221" t="s">
        <v>163</v>
      </c>
      <c r="F30" s="222"/>
      <c r="G30" s="222"/>
      <c r="H30" s="222"/>
      <c r="I30" s="222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7"/>
      <c r="AL30" s="108"/>
      <c r="AM30" s="106"/>
      <c r="AN30" s="106"/>
      <c r="AO30" s="106"/>
      <c r="AP30" s="221" t="s">
        <v>163</v>
      </c>
      <c r="AQ30" s="222"/>
      <c r="AR30" s="222"/>
      <c r="AS30" s="222"/>
      <c r="AT30" s="222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7"/>
      <c r="BW30" s="108"/>
      <c r="BX30" s="106"/>
      <c r="BY30" s="106"/>
      <c r="BZ30" s="106"/>
      <c r="CA30" s="221" t="s">
        <v>163</v>
      </c>
      <c r="CB30" s="222"/>
      <c r="CC30" s="222"/>
      <c r="CD30" s="222"/>
      <c r="CE30" s="222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7"/>
      <c r="DH30" s="106"/>
      <c r="DI30" s="106"/>
      <c r="DJ30" s="106"/>
      <c r="DK30" s="106"/>
      <c r="DL30" s="222"/>
      <c r="DM30" s="3"/>
      <c r="DN30" s="222"/>
      <c r="DO30" s="102"/>
      <c r="DP30" s="102"/>
      <c r="DQ30" s="106"/>
      <c r="DR30" s="106"/>
      <c r="DS30" s="106"/>
      <c r="DT30" s="106"/>
      <c r="DU30" s="106"/>
      <c r="DV30" s="106"/>
      <c r="DW30" s="105">
        <v>21</v>
      </c>
      <c r="DX30" s="104">
        <v>11</v>
      </c>
      <c r="DY30" s="102">
        <v>47.999999999999972</v>
      </c>
      <c r="DZ30" s="293">
        <v>0.3</v>
      </c>
      <c r="EA30" s="102">
        <v>2.5</v>
      </c>
    </row>
    <row r="31" spans="1:131" ht="15.75" x14ac:dyDescent="0.15">
      <c r="A31" s="108"/>
      <c r="B31" s="106"/>
      <c r="C31" s="106"/>
      <c r="D31" s="106"/>
      <c r="E31" s="696" t="s">
        <v>162</v>
      </c>
      <c r="F31" s="373"/>
      <c r="G31" s="373"/>
      <c r="H31" s="416" t="s">
        <v>159</v>
      </c>
      <c r="I31" s="416"/>
      <c r="J31" s="697" t="s">
        <v>161</v>
      </c>
      <c r="K31" s="697"/>
      <c r="L31" s="8" t="s">
        <v>160</v>
      </c>
      <c r="M31" s="356" t="s">
        <v>102</v>
      </c>
      <c r="N31" s="698">
        <f>AC12</f>
        <v>0</v>
      </c>
      <c r="O31" s="698"/>
      <c r="P31" s="698"/>
      <c r="Q31" s="698"/>
      <c r="R31" s="356" t="s">
        <v>102</v>
      </c>
      <c r="S31" s="681">
        <f>IF(ISERROR(ROUND(N31/N32,3)),0,ROUND(N31/N32,3))</f>
        <v>0</v>
      </c>
      <c r="T31" s="681"/>
      <c r="U31" s="681"/>
      <c r="V31" s="416" t="s">
        <v>159</v>
      </c>
      <c r="W31" s="416"/>
      <c r="X31" s="356" t="s">
        <v>102</v>
      </c>
      <c r="Y31" s="699">
        <f>ROUND((S31*S31)/19.6,5)</f>
        <v>0</v>
      </c>
      <c r="Z31" s="699"/>
      <c r="AA31" s="699"/>
      <c r="AB31" s="699"/>
      <c r="AC31" s="114"/>
      <c r="AD31" s="106"/>
      <c r="AE31" s="700" t="s">
        <v>158</v>
      </c>
      <c r="AF31" s="700"/>
      <c r="AG31" s="701"/>
      <c r="AH31" s="701"/>
      <c r="AI31" s="106"/>
      <c r="AJ31" s="106"/>
      <c r="AK31" s="107"/>
      <c r="AL31" s="108"/>
      <c r="AM31" s="106"/>
      <c r="AN31" s="106"/>
      <c r="AO31" s="106"/>
      <c r="AP31" s="696" t="s">
        <v>162</v>
      </c>
      <c r="AQ31" s="373"/>
      <c r="AR31" s="373"/>
      <c r="AS31" s="416" t="s">
        <v>159</v>
      </c>
      <c r="AT31" s="416"/>
      <c r="AU31" s="697" t="s">
        <v>161</v>
      </c>
      <c r="AV31" s="697"/>
      <c r="AW31" s="8" t="s">
        <v>54</v>
      </c>
      <c r="AX31" s="356" t="s">
        <v>102</v>
      </c>
      <c r="AY31" s="698">
        <f>BN12</f>
        <v>0</v>
      </c>
      <c r="AZ31" s="698"/>
      <c r="BA31" s="698"/>
      <c r="BB31" s="698"/>
      <c r="BC31" s="356" t="s">
        <v>102</v>
      </c>
      <c r="BD31" s="681">
        <f>IF(ISERROR(ROUND(AY31/AY32,3)),0,ROUND(AY31/AY32,3))</f>
        <v>0</v>
      </c>
      <c r="BE31" s="681"/>
      <c r="BF31" s="681"/>
      <c r="BG31" s="416" t="s">
        <v>159</v>
      </c>
      <c r="BH31" s="416"/>
      <c r="BI31" s="356" t="s">
        <v>102</v>
      </c>
      <c r="BJ31" s="699">
        <f>ROUND((BD31*BD31)/19.6,5)</f>
        <v>0</v>
      </c>
      <c r="BK31" s="699"/>
      <c r="BL31" s="699"/>
      <c r="BM31" s="699"/>
      <c r="BN31" s="114"/>
      <c r="BO31" s="106"/>
      <c r="BP31" s="700" t="s">
        <v>158</v>
      </c>
      <c r="BQ31" s="700"/>
      <c r="BR31" s="701"/>
      <c r="BS31" s="701"/>
      <c r="BT31" s="106"/>
      <c r="BU31" s="106"/>
      <c r="BV31" s="107"/>
      <c r="BW31" s="108"/>
      <c r="BX31" s="106"/>
      <c r="BY31" s="106"/>
      <c r="BZ31" s="106"/>
      <c r="CA31" s="696" t="s">
        <v>162</v>
      </c>
      <c r="CB31" s="373"/>
      <c r="CC31" s="373"/>
      <c r="CD31" s="416" t="s">
        <v>159</v>
      </c>
      <c r="CE31" s="416"/>
      <c r="CF31" s="697" t="s">
        <v>161</v>
      </c>
      <c r="CG31" s="697"/>
      <c r="CH31" s="8" t="s">
        <v>54</v>
      </c>
      <c r="CI31" s="356" t="s">
        <v>102</v>
      </c>
      <c r="CJ31" s="698">
        <f>CY12</f>
        <v>0</v>
      </c>
      <c r="CK31" s="698"/>
      <c r="CL31" s="698"/>
      <c r="CM31" s="698"/>
      <c r="CN31" s="356" t="s">
        <v>102</v>
      </c>
      <c r="CO31" s="681">
        <f>IF(ISERROR(ROUND(CJ31/CJ32,3)),0,ROUND(CJ31/CJ32,3))</f>
        <v>0</v>
      </c>
      <c r="CP31" s="681"/>
      <c r="CQ31" s="681"/>
      <c r="CR31" s="416" t="s">
        <v>159</v>
      </c>
      <c r="CS31" s="416"/>
      <c r="CT31" s="356" t="s">
        <v>102</v>
      </c>
      <c r="CU31" s="699">
        <f>ROUND((CO31*CO31)/19.6,5)</f>
        <v>0</v>
      </c>
      <c r="CV31" s="699"/>
      <c r="CW31" s="699"/>
      <c r="CX31" s="699"/>
      <c r="CY31" s="114"/>
      <c r="CZ31" s="106"/>
      <c r="DA31" s="700" t="s">
        <v>158</v>
      </c>
      <c r="DB31" s="700"/>
      <c r="DC31" s="701"/>
      <c r="DD31" s="701"/>
      <c r="DE31" s="106"/>
      <c r="DF31" s="106"/>
      <c r="DG31" s="107"/>
      <c r="DH31" s="106"/>
      <c r="DI31" s="106"/>
      <c r="DJ31" s="106"/>
      <c r="DK31" s="106"/>
      <c r="DL31" s="222"/>
      <c r="DM31" s="3"/>
      <c r="DN31" s="106"/>
      <c r="DO31" s="102"/>
      <c r="DP31" s="102"/>
      <c r="DQ31" s="102"/>
      <c r="DR31" s="102"/>
      <c r="DS31" s="102"/>
      <c r="DT31" s="102"/>
      <c r="DU31" s="106"/>
      <c r="DV31" s="106"/>
      <c r="DW31" s="105">
        <v>22</v>
      </c>
      <c r="DX31" s="104">
        <v>11.5</v>
      </c>
      <c r="DY31" s="102">
        <v>47.89999999999997</v>
      </c>
      <c r="DZ31" s="293">
        <v>0.28999999999999998</v>
      </c>
      <c r="EA31" s="102">
        <v>2.6</v>
      </c>
    </row>
    <row r="32" spans="1:131" ht="14.25" customHeight="1" x14ac:dyDescent="0.15">
      <c r="A32" s="24"/>
      <c r="B32" s="222"/>
      <c r="C32" s="222"/>
      <c r="D32" s="222"/>
      <c r="E32" s="696"/>
      <c r="F32" s="373"/>
      <c r="G32" s="373"/>
      <c r="H32" s="373" t="s">
        <v>156</v>
      </c>
      <c r="I32" s="373"/>
      <c r="J32" s="697"/>
      <c r="K32" s="697"/>
      <c r="L32" s="222" t="s">
        <v>157</v>
      </c>
      <c r="M32" s="356"/>
      <c r="N32" s="351" t="e">
        <f>HLOOKUP($AG$32,$DP$32:$DT$39,8,FALSE)</f>
        <v>#N/A</v>
      </c>
      <c r="O32" s="351"/>
      <c r="P32" s="351"/>
      <c r="Q32" s="351"/>
      <c r="R32" s="356"/>
      <c r="S32" s="681"/>
      <c r="T32" s="681"/>
      <c r="U32" s="681"/>
      <c r="V32" s="373" t="s">
        <v>156</v>
      </c>
      <c r="W32" s="373"/>
      <c r="X32" s="356"/>
      <c r="Y32" s="699"/>
      <c r="Z32" s="699"/>
      <c r="AA32" s="699"/>
      <c r="AB32" s="699"/>
      <c r="AC32" s="702" t="s">
        <v>155</v>
      </c>
      <c r="AD32" s="703"/>
      <c r="AE32" s="703"/>
      <c r="AF32" s="704"/>
      <c r="AG32" s="705">
        <f>AC4</f>
        <v>0</v>
      </c>
      <c r="AH32" s="705"/>
      <c r="AI32" s="705"/>
      <c r="AJ32" s="706"/>
      <c r="AK32" s="107"/>
      <c r="AL32" s="24"/>
      <c r="AM32" s="222"/>
      <c r="AN32" s="222"/>
      <c r="AO32" s="222"/>
      <c r="AP32" s="696"/>
      <c r="AQ32" s="373"/>
      <c r="AR32" s="373"/>
      <c r="AS32" s="373" t="s">
        <v>51</v>
      </c>
      <c r="AT32" s="373"/>
      <c r="AU32" s="697"/>
      <c r="AV32" s="697"/>
      <c r="AW32" s="222" t="s">
        <v>29</v>
      </c>
      <c r="AX32" s="356"/>
      <c r="AY32" s="351" t="e">
        <f>HLOOKUP($BR$32,$DP$32:$DT$39,8,FALSE)</f>
        <v>#N/A</v>
      </c>
      <c r="AZ32" s="351"/>
      <c r="BA32" s="351"/>
      <c r="BB32" s="351"/>
      <c r="BC32" s="356"/>
      <c r="BD32" s="681"/>
      <c r="BE32" s="681"/>
      <c r="BF32" s="681"/>
      <c r="BG32" s="373" t="s">
        <v>51</v>
      </c>
      <c r="BH32" s="373"/>
      <c r="BI32" s="356"/>
      <c r="BJ32" s="699"/>
      <c r="BK32" s="699"/>
      <c r="BL32" s="699"/>
      <c r="BM32" s="699"/>
      <c r="BN32" s="702" t="s">
        <v>155</v>
      </c>
      <c r="BO32" s="703"/>
      <c r="BP32" s="703"/>
      <c r="BQ32" s="704"/>
      <c r="BR32" s="705">
        <f>BN4</f>
        <v>0</v>
      </c>
      <c r="BS32" s="705"/>
      <c r="BT32" s="705"/>
      <c r="BU32" s="706"/>
      <c r="BV32" s="107"/>
      <c r="BW32" s="24"/>
      <c r="BX32" s="222"/>
      <c r="BY32" s="222"/>
      <c r="BZ32" s="222"/>
      <c r="CA32" s="696"/>
      <c r="CB32" s="373"/>
      <c r="CC32" s="373"/>
      <c r="CD32" s="373" t="s">
        <v>51</v>
      </c>
      <c r="CE32" s="373"/>
      <c r="CF32" s="697"/>
      <c r="CG32" s="697"/>
      <c r="CH32" s="222" t="s">
        <v>29</v>
      </c>
      <c r="CI32" s="356"/>
      <c r="CJ32" s="351" t="e">
        <f>HLOOKUP($DC$32,$DP$32:$DT$39,8,FALSE)</f>
        <v>#N/A</v>
      </c>
      <c r="CK32" s="351"/>
      <c r="CL32" s="351"/>
      <c r="CM32" s="351"/>
      <c r="CN32" s="356"/>
      <c r="CO32" s="681"/>
      <c r="CP32" s="681"/>
      <c r="CQ32" s="681"/>
      <c r="CR32" s="373" t="s">
        <v>51</v>
      </c>
      <c r="CS32" s="373"/>
      <c r="CT32" s="356"/>
      <c r="CU32" s="699"/>
      <c r="CV32" s="699"/>
      <c r="CW32" s="699"/>
      <c r="CX32" s="699"/>
      <c r="CY32" s="702" t="s">
        <v>155</v>
      </c>
      <c r="CZ32" s="703"/>
      <c r="DA32" s="703"/>
      <c r="DB32" s="704"/>
      <c r="DC32" s="705">
        <f>CY4</f>
        <v>0</v>
      </c>
      <c r="DD32" s="705"/>
      <c r="DE32" s="705"/>
      <c r="DF32" s="706"/>
      <c r="DG32" s="107"/>
      <c r="DH32" s="106"/>
      <c r="DI32" s="106"/>
      <c r="DJ32" s="106"/>
      <c r="DK32" s="106"/>
      <c r="DL32" s="222"/>
      <c r="DM32" s="102"/>
      <c r="DN32" s="102"/>
      <c r="DO32" s="243" t="s">
        <v>186</v>
      </c>
      <c r="DP32" s="132">
        <v>75</v>
      </c>
      <c r="DQ32" s="132">
        <v>100</v>
      </c>
      <c r="DR32" s="132">
        <v>150</v>
      </c>
      <c r="DS32" s="132">
        <v>200</v>
      </c>
      <c r="DT32" s="132">
        <v>250</v>
      </c>
      <c r="DU32" s="102"/>
      <c r="DV32" s="102"/>
      <c r="DW32" s="105">
        <v>23</v>
      </c>
      <c r="DX32" s="104">
        <v>12</v>
      </c>
      <c r="DY32" s="102">
        <v>47.799999999999969</v>
      </c>
      <c r="DZ32" s="293">
        <v>0.28000000000000003</v>
      </c>
      <c r="EA32" s="102">
        <v>2.7</v>
      </c>
    </row>
    <row r="33" spans="1:131" x14ac:dyDescent="0.15">
      <c r="A33" s="24"/>
      <c r="B33" s="222"/>
      <c r="C33" s="222"/>
      <c r="D33" s="17"/>
      <c r="E33" s="687" t="s">
        <v>210</v>
      </c>
      <c r="F33" s="688"/>
      <c r="G33" s="688"/>
      <c r="H33" s="688"/>
      <c r="I33" s="688"/>
      <c r="J33" s="688"/>
      <c r="K33" s="672">
        <f t="shared" ref="K33:K38" si="3">AG33</f>
        <v>0</v>
      </c>
      <c r="L33" s="672"/>
      <c r="M33" s="672"/>
      <c r="N33" s="206" t="s">
        <v>211</v>
      </c>
      <c r="O33" s="673">
        <f t="shared" ref="O33:O38" si="4">$Y$31</f>
        <v>0</v>
      </c>
      <c r="P33" s="673"/>
      <c r="Q33" s="673"/>
      <c r="R33" s="673"/>
      <c r="S33" s="206" t="s">
        <v>211</v>
      </c>
      <c r="T33" s="674"/>
      <c r="U33" s="674"/>
      <c r="V33" s="148" t="s">
        <v>212</v>
      </c>
      <c r="W33" s="675">
        <f t="shared" ref="W33:W38" si="5">ROUND(K33*O33*T33,6)</f>
        <v>0</v>
      </c>
      <c r="X33" s="675"/>
      <c r="Y33" s="675"/>
      <c r="Z33" s="675"/>
      <c r="AA33" s="153"/>
      <c r="AB33" s="153"/>
      <c r="AC33" s="682" t="s">
        <v>231</v>
      </c>
      <c r="AD33" s="683"/>
      <c r="AE33" s="154" t="s">
        <v>154</v>
      </c>
      <c r="AF33" s="155"/>
      <c r="AG33" s="540">
        <f>IF(ISERROR(HLOOKUP(AG32,$DP$32:$DT$39,2,FALSE)),0,HLOOKUP(AG32,$DP$32:$DT$39,2,FALSE))</f>
        <v>0</v>
      </c>
      <c r="AH33" s="351"/>
      <c r="AI33" s="351"/>
      <c r="AJ33" s="352"/>
      <c r="AK33" s="107"/>
      <c r="AL33" s="24"/>
      <c r="AM33" s="222"/>
      <c r="AN33" s="222"/>
      <c r="AO33" s="17"/>
      <c r="AP33" s="687" t="s">
        <v>210</v>
      </c>
      <c r="AQ33" s="688"/>
      <c r="AR33" s="688"/>
      <c r="AS33" s="688"/>
      <c r="AT33" s="688"/>
      <c r="AU33" s="688"/>
      <c r="AV33" s="672">
        <f t="shared" ref="AV33:AV38" si="6">BR33</f>
        <v>0</v>
      </c>
      <c r="AW33" s="672"/>
      <c r="AX33" s="672"/>
      <c r="AY33" s="206" t="s">
        <v>33</v>
      </c>
      <c r="AZ33" s="673">
        <f>$BJ$31</f>
        <v>0</v>
      </c>
      <c r="BA33" s="673"/>
      <c r="BB33" s="673"/>
      <c r="BC33" s="673"/>
      <c r="BD33" s="206" t="s">
        <v>33</v>
      </c>
      <c r="BE33" s="674"/>
      <c r="BF33" s="674"/>
      <c r="BG33" s="148" t="s">
        <v>23</v>
      </c>
      <c r="BH33" s="675">
        <f t="shared" ref="BH33:BH38" si="7">ROUND(AV33*AZ33*BE33,6)</f>
        <v>0</v>
      </c>
      <c r="BI33" s="675"/>
      <c r="BJ33" s="675"/>
      <c r="BK33" s="675"/>
      <c r="BL33" s="153"/>
      <c r="BM33" s="153"/>
      <c r="BN33" s="682" t="s">
        <v>231</v>
      </c>
      <c r="BO33" s="683"/>
      <c r="BP33" s="154" t="s">
        <v>154</v>
      </c>
      <c r="BQ33" s="155"/>
      <c r="BR33" s="540">
        <f>IF(ISERROR(HLOOKUP(BR32,$DP$32:$DT$39,2,FALSE)),0,HLOOKUP(BR32,$DP$32:$DT$39,2,FALSE))</f>
        <v>0</v>
      </c>
      <c r="BS33" s="351"/>
      <c r="BT33" s="351"/>
      <c r="BU33" s="352"/>
      <c r="BV33" s="107"/>
      <c r="BW33" s="24"/>
      <c r="BX33" s="222"/>
      <c r="BY33" s="222"/>
      <c r="BZ33" s="17"/>
      <c r="CA33" s="687" t="s">
        <v>210</v>
      </c>
      <c r="CB33" s="688"/>
      <c r="CC33" s="688"/>
      <c r="CD33" s="688"/>
      <c r="CE33" s="688"/>
      <c r="CF33" s="688"/>
      <c r="CG33" s="672">
        <f t="shared" ref="CG33:CG38" si="8">DC33</f>
        <v>0</v>
      </c>
      <c r="CH33" s="672"/>
      <c r="CI33" s="672"/>
      <c r="CJ33" s="206" t="s">
        <v>33</v>
      </c>
      <c r="CK33" s="673">
        <f>$CU$31</f>
        <v>0</v>
      </c>
      <c r="CL33" s="673"/>
      <c r="CM33" s="673"/>
      <c r="CN33" s="673"/>
      <c r="CO33" s="206" t="s">
        <v>33</v>
      </c>
      <c r="CP33" s="674"/>
      <c r="CQ33" s="674"/>
      <c r="CR33" s="148" t="s">
        <v>23</v>
      </c>
      <c r="CS33" s="675">
        <f t="shared" ref="CS33:CS38" si="9">ROUND(CG33*CK33*CP33,6)</f>
        <v>0</v>
      </c>
      <c r="CT33" s="675"/>
      <c r="CU33" s="675"/>
      <c r="CV33" s="675"/>
      <c r="CW33" s="153"/>
      <c r="CX33" s="153"/>
      <c r="CY33" s="682" t="s">
        <v>231</v>
      </c>
      <c r="CZ33" s="683"/>
      <c r="DA33" s="154" t="s">
        <v>154</v>
      </c>
      <c r="DB33" s="155"/>
      <c r="DC33" s="540">
        <f>IF(ISERROR(HLOOKUP(DC32,$DP$32:$DT$39,2,FALSE)),0,HLOOKUP(DC32,$DP$32:$DT$39,2,FALSE))</f>
        <v>0</v>
      </c>
      <c r="DD33" s="351"/>
      <c r="DE33" s="351"/>
      <c r="DF33" s="352"/>
      <c r="DG33" s="107"/>
      <c r="DH33" s="106"/>
      <c r="DI33" s="106"/>
      <c r="DJ33" s="106"/>
      <c r="DK33" s="106"/>
      <c r="DL33" s="222"/>
      <c r="DM33" s="102"/>
      <c r="DN33" s="102"/>
      <c r="DO33" s="209" t="s">
        <v>154</v>
      </c>
      <c r="DP33" s="134">
        <v>2.56</v>
      </c>
      <c r="DQ33" s="134">
        <v>1.93</v>
      </c>
      <c r="DR33" s="134">
        <v>2.64</v>
      </c>
      <c r="DS33" s="134">
        <v>2.19</v>
      </c>
      <c r="DT33" s="134">
        <v>2.29</v>
      </c>
      <c r="DU33" s="102"/>
      <c r="DV33" s="102"/>
      <c r="DW33" s="105">
        <v>24</v>
      </c>
      <c r="DX33" s="104">
        <v>12.5</v>
      </c>
      <c r="DY33" s="102">
        <v>47.699999999999967</v>
      </c>
      <c r="DZ33" s="293">
        <v>0.27</v>
      </c>
      <c r="EA33" s="102">
        <v>2.8</v>
      </c>
    </row>
    <row r="34" spans="1:131" ht="15.75" customHeight="1" x14ac:dyDescent="0.15">
      <c r="A34" s="108"/>
      <c r="B34" s="106"/>
      <c r="C34" s="106"/>
      <c r="D34" s="106"/>
      <c r="E34" s="670" t="s">
        <v>213</v>
      </c>
      <c r="F34" s="671"/>
      <c r="G34" s="671"/>
      <c r="H34" s="671"/>
      <c r="I34" s="671"/>
      <c r="J34" s="671"/>
      <c r="K34" s="672">
        <f t="shared" si="3"/>
        <v>0</v>
      </c>
      <c r="L34" s="672"/>
      <c r="M34" s="672"/>
      <c r="N34" s="206" t="s">
        <v>211</v>
      </c>
      <c r="O34" s="673">
        <f t="shared" si="4"/>
        <v>0</v>
      </c>
      <c r="P34" s="673"/>
      <c r="Q34" s="673"/>
      <c r="R34" s="673"/>
      <c r="S34" s="206" t="s">
        <v>211</v>
      </c>
      <c r="T34" s="674"/>
      <c r="U34" s="674"/>
      <c r="V34" s="148" t="s">
        <v>212</v>
      </c>
      <c r="W34" s="675">
        <f t="shared" si="5"/>
        <v>0</v>
      </c>
      <c r="X34" s="675"/>
      <c r="Y34" s="675"/>
      <c r="Z34" s="675"/>
      <c r="AA34" s="156"/>
      <c r="AB34" s="156"/>
      <c r="AC34" s="684"/>
      <c r="AD34" s="685"/>
      <c r="AE34" s="154" t="s">
        <v>153</v>
      </c>
      <c r="AF34" s="155"/>
      <c r="AG34" s="540">
        <f>IF(ISERROR(HLOOKUP(AG32,$DP$32:$DT$39,3,FALSE)),0,HLOOKUP(AG32,$DP$32:$DT$39,3,FALSE))</f>
        <v>0</v>
      </c>
      <c r="AH34" s="351"/>
      <c r="AI34" s="351"/>
      <c r="AJ34" s="352"/>
      <c r="AK34" s="107"/>
      <c r="AL34" s="108"/>
      <c r="AM34" s="106"/>
      <c r="AN34" s="106"/>
      <c r="AO34" s="106"/>
      <c r="AP34" s="670" t="s">
        <v>213</v>
      </c>
      <c r="AQ34" s="671"/>
      <c r="AR34" s="671"/>
      <c r="AS34" s="671"/>
      <c r="AT34" s="671"/>
      <c r="AU34" s="671"/>
      <c r="AV34" s="672">
        <f t="shared" si="6"/>
        <v>0</v>
      </c>
      <c r="AW34" s="672"/>
      <c r="AX34" s="672"/>
      <c r="AY34" s="206" t="s">
        <v>33</v>
      </c>
      <c r="AZ34" s="673">
        <f t="shared" ref="AZ34:AZ38" si="10">$BJ$31</f>
        <v>0</v>
      </c>
      <c r="BA34" s="673"/>
      <c r="BB34" s="673"/>
      <c r="BC34" s="673"/>
      <c r="BD34" s="206" t="s">
        <v>33</v>
      </c>
      <c r="BE34" s="674"/>
      <c r="BF34" s="674"/>
      <c r="BG34" s="148" t="s">
        <v>23</v>
      </c>
      <c r="BH34" s="675">
        <f t="shared" si="7"/>
        <v>0</v>
      </c>
      <c r="BI34" s="675"/>
      <c r="BJ34" s="675"/>
      <c r="BK34" s="675"/>
      <c r="BL34" s="156"/>
      <c r="BM34" s="156"/>
      <c r="BN34" s="684"/>
      <c r="BO34" s="685"/>
      <c r="BP34" s="154" t="s">
        <v>153</v>
      </c>
      <c r="BQ34" s="155"/>
      <c r="BR34" s="540">
        <f>IF(ISERROR(HLOOKUP(BR32,$DP$32:$DT$39,3,FALSE)),0,HLOOKUP(BR32,$DP$32:$DT$39,3,FALSE))</f>
        <v>0</v>
      </c>
      <c r="BS34" s="351"/>
      <c r="BT34" s="351"/>
      <c r="BU34" s="352"/>
      <c r="BV34" s="107"/>
      <c r="BW34" s="108"/>
      <c r="BX34" s="106"/>
      <c r="BY34" s="106"/>
      <c r="BZ34" s="106"/>
      <c r="CA34" s="670" t="s">
        <v>213</v>
      </c>
      <c r="CB34" s="671"/>
      <c r="CC34" s="671"/>
      <c r="CD34" s="671"/>
      <c r="CE34" s="671"/>
      <c r="CF34" s="671"/>
      <c r="CG34" s="672">
        <f t="shared" si="8"/>
        <v>0</v>
      </c>
      <c r="CH34" s="672"/>
      <c r="CI34" s="672"/>
      <c r="CJ34" s="206" t="s">
        <v>33</v>
      </c>
      <c r="CK34" s="673">
        <f t="shared" ref="CK34:CK38" si="11">$CU$31</f>
        <v>0</v>
      </c>
      <c r="CL34" s="673"/>
      <c r="CM34" s="673"/>
      <c r="CN34" s="673"/>
      <c r="CO34" s="206" t="s">
        <v>33</v>
      </c>
      <c r="CP34" s="674"/>
      <c r="CQ34" s="674"/>
      <c r="CR34" s="148" t="s">
        <v>23</v>
      </c>
      <c r="CS34" s="675">
        <f t="shared" si="9"/>
        <v>0</v>
      </c>
      <c r="CT34" s="675"/>
      <c r="CU34" s="675"/>
      <c r="CV34" s="675"/>
      <c r="CW34" s="156"/>
      <c r="CX34" s="156"/>
      <c r="CY34" s="684"/>
      <c r="CZ34" s="685"/>
      <c r="DA34" s="154" t="s">
        <v>153</v>
      </c>
      <c r="DB34" s="155"/>
      <c r="DC34" s="540">
        <f>IF(ISERROR(HLOOKUP(DC32,$DP$32:$DT$39,3,FALSE)),0,HLOOKUP(DC32,$DP$32:$DT$39,3,FALSE))</f>
        <v>0</v>
      </c>
      <c r="DD34" s="351"/>
      <c r="DE34" s="351"/>
      <c r="DF34" s="352"/>
      <c r="DG34" s="107"/>
      <c r="DH34" s="106"/>
      <c r="DI34" s="106"/>
      <c r="DJ34" s="106"/>
      <c r="DK34" s="106"/>
      <c r="DL34" s="222"/>
      <c r="DM34" s="3"/>
      <c r="DN34" s="106"/>
      <c r="DO34" s="209" t="s">
        <v>153</v>
      </c>
      <c r="DP34" s="134">
        <v>0.17</v>
      </c>
      <c r="DQ34" s="134">
        <v>0.16</v>
      </c>
      <c r="DR34" s="134">
        <v>0.15</v>
      </c>
      <c r="DS34" s="134">
        <v>0.11</v>
      </c>
      <c r="DT34" s="134">
        <v>0.05</v>
      </c>
      <c r="DU34" s="102"/>
      <c r="DV34" s="106"/>
      <c r="DW34" s="105">
        <v>25</v>
      </c>
      <c r="DX34" s="104">
        <v>13</v>
      </c>
      <c r="DY34" s="102">
        <v>47.599999999999966</v>
      </c>
      <c r="DZ34" s="293">
        <v>0.26</v>
      </c>
      <c r="EA34" s="102">
        <v>2.9</v>
      </c>
    </row>
    <row r="35" spans="1:131" ht="15.75" customHeight="1" x14ac:dyDescent="0.15">
      <c r="A35" s="24"/>
      <c r="B35" s="222"/>
      <c r="C35" s="222"/>
      <c r="D35" s="17"/>
      <c r="E35" s="670" t="s">
        <v>214</v>
      </c>
      <c r="F35" s="671"/>
      <c r="G35" s="671"/>
      <c r="H35" s="671"/>
      <c r="I35" s="671"/>
      <c r="J35" s="671"/>
      <c r="K35" s="672">
        <f t="shared" si="3"/>
        <v>0</v>
      </c>
      <c r="L35" s="672"/>
      <c r="M35" s="672"/>
      <c r="N35" s="206" t="s">
        <v>211</v>
      </c>
      <c r="O35" s="673">
        <f t="shared" si="4"/>
        <v>0</v>
      </c>
      <c r="P35" s="673"/>
      <c r="Q35" s="673"/>
      <c r="R35" s="673"/>
      <c r="S35" s="206" t="s">
        <v>211</v>
      </c>
      <c r="T35" s="674"/>
      <c r="U35" s="674"/>
      <c r="V35" s="148" t="s">
        <v>212</v>
      </c>
      <c r="W35" s="675">
        <f t="shared" si="5"/>
        <v>0</v>
      </c>
      <c r="X35" s="675"/>
      <c r="Y35" s="675"/>
      <c r="Z35" s="675"/>
      <c r="AA35" s="156"/>
      <c r="AB35" s="156"/>
      <c r="AC35" s="676" t="s">
        <v>232</v>
      </c>
      <c r="AD35" s="677"/>
      <c r="AE35" s="154" t="s">
        <v>152</v>
      </c>
      <c r="AF35" s="155"/>
      <c r="AG35" s="540">
        <f>IF(ISERROR(HLOOKUP(AG32,$DP$32:$DT$39,4,FALSE)),0,HLOOKUP(AG32,$DP$32:$DT$39,4,FALSE))</f>
        <v>0</v>
      </c>
      <c r="AH35" s="351"/>
      <c r="AI35" s="351"/>
      <c r="AJ35" s="352"/>
      <c r="AK35" s="107"/>
      <c r="AL35" s="24"/>
      <c r="AM35" s="222"/>
      <c r="AN35" s="222"/>
      <c r="AO35" s="17"/>
      <c r="AP35" s="670" t="s">
        <v>214</v>
      </c>
      <c r="AQ35" s="671"/>
      <c r="AR35" s="671"/>
      <c r="AS35" s="671"/>
      <c r="AT35" s="671"/>
      <c r="AU35" s="671"/>
      <c r="AV35" s="672">
        <f t="shared" si="6"/>
        <v>0</v>
      </c>
      <c r="AW35" s="672"/>
      <c r="AX35" s="672"/>
      <c r="AY35" s="206" t="s">
        <v>33</v>
      </c>
      <c r="AZ35" s="673">
        <f t="shared" si="10"/>
        <v>0</v>
      </c>
      <c r="BA35" s="673"/>
      <c r="BB35" s="673"/>
      <c r="BC35" s="673"/>
      <c r="BD35" s="206" t="s">
        <v>33</v>
      </c>
      <c r="BE35" s="674"/>
      <c r="BF35" s="674"/>
      <c r="BG35" s="148" t="s">
        <v>23</v>
      </c>
      <c r="BH35" s="675">
        <f t="shared" si="7"/>
        <v>0</v>
      </c>
      <c r="BI35" s="675"/>
      <c r="BJ35" s="675"/>
      <c r="BK35" s="675"/>
      <c r="BL35" s="156"/>
      <c r="BM35" s="156"/>
      <c r="BN35" s="676" t="s">
        <v>232</v>
      </c>
      <c r="BO35" s="677"/>
      <c r="BP35" s="154" t="s">
        <v>152</v>
      </c>
      <c r="BQ35" s="155"/>
      <c r="BR35" s="540">
        <f>IF(ISERROR(HLOOKUP(BR32,$DP$32:$DT$39,4,FALSE)),0,HLOOKUP(BR32,$DP$32:$DT$39,4,FALSE))</f>
        <v>0</v>
      </c>
      <c r="BS35" s="351"/>
      <c r="BT35" s="351"/>
      <c r="BU35" s="352"/>
      <c r="BV35" s="107"/>
      <c r="BW35" s="24"/>
      <c r="BX35" s="222"/>
      <c r="BY35" s="222"/>
      <c r="BZ35" s="17"/>
      <c r="CA35" s="670" t="s">
        <v>214</v>
      </c>
      <c r="CB35" s="671"/>
      <c r="CC35" s="671"/>
      <c r="CD35" s="671"/>
      <c r="CE35" s="671"/>
      <c r="CF35" s="671"/>
      <c r="CG35" s="672">
        <f t="shared" si="8"/>
        <v>0</v>
      </c>
      <c r="CH35" s="672"/>
      <c r="CI35" s="672"/>
      <c r="CJ35" s="206" t="s">
        <v>33</v>
      </c>
      <c r="CK35" s="673">
        <f t="shared" si="11"/>
        <v>0</v>
      </c>
      <c r="CL35" s="673"/>
      <c r="CM35" s="673"/>
      <c r="CN35" s="673"/>
      <c r="CO35" s="206" t="s">
        <v>33</v>
      </c>
      <c r="CP35" s="674"/>
      <c r="CQ35" s="674"/>
      <c r="CR35" s="148" t="s">
        <v>23</v>
      </c>
      <c r="CS35" s="675">
        <f t="shared" si="9"/>
        <v>0</v>
      </c>
      <c r="CT35" s="675"/>
      <c r="CU35" s="675"/>
      <c r="CV35" s="675"/>
      <c r="CW35" s="156"/>
      <c r="CX35" s="156"/>
      <c r="CY35" s="676" t="s">
        <v>232</v>
      </c>
      <c r="CZ35" s="677"/>
      <c r="DA35" s="154" t="s">
        <v>152</v>
      </c>
      <c r="DB35" s="155"/>
      <c r="DC35" s="540">
        <f>IF(ISERROR(HLOOKUP(DC32,$DP$32:$DT$39,4,FALSE)),0,HLOOKUP(DC32,$DP$32:$DT$39,4,FALSE))</f>
        <v>0</v>
      </c>
      <c r="DD35" s="351"/>
      <c r="DE35" s="351"/>
      <c r="DF35" s="352"/>
      <c r="DG35" s="107"/>
      <c r="DH35" s="106"/>
      <c r="DI35" s="106"/>
      <c r="DJ35" s="106"/>
      <c r="DK35" s="106"/>
      <c r="DL35" s="222"/>
      <c r="DM35" s="3"/>
      <c r="DN35" s="106"/>
      <c r="DO35" s="209" t="s">
        <v>152</v>
      </c>
      <c r="DP35" s="134">
        <v>0.104</v>
      </c>
      <c r="DQ35" s="134">
        <v>0.13900000000000001</v>
      </c>
      <c r="DR35" s="134">
        <v>0.17399999999999999</v>
      </c>
      <c r="DS35" s="134">
        <v>0.17599999999999999</v>
      </c>
      <c r="DT35" s="134">
        <v>0.221</v>
      </c>
      <c r="DU35" s="102"/>
      <c r="DV35" s="106"/>
      <c r="DW35" s="105">
        <v>26</v>
      </c>
      <c r="DX35" s="104">
        <v>13.5</v>
      </c>
      <c r="DY35" s="102">
        <v>47.499999999999964</v>
      </c>
      <c r="DZ35" s="293">
        <v>0.25</v>
      </c>
      <c r="EA35" s="102">
        <v>3</v>
      </c>
    </row>
    <row r="36" spans="1:131" ht="15.75" customHeight="1" x14ac:dyDescent="0.15">
      <c r="A36" s="24"/>
      <c r="B36" s="222"/>
      <c r="C36" s="222"/>
      <c r="D36" s="17"/>
      <c r="E36" s="680" t="s">
        <v>215</v>
      </c>
      <c r="F36" s="681"/>
      <c r="G36" s="681"/>
      <c r="H36" s="681"/>
      <c r="I36" s="681"/>
      <c r="J36" s="681"/>
      <c r="K36" s="672">
        <f t="shared" si="3"/>
        <v>0</v>
      </c>
      <c r="L36" s="672"/>
      <c r="M36" s="672"/>
      <c r="N36" s="206" t="s">
        <v>211</v>
      </c>
      <c r="O36" s="673">
        <f t="shared" si="4"/>
        <v>0</v>
      </c>
      <c r="P36" s="673"/>
      <c r="Q36" s="673"/>
      <c r="R36" s="673"/>
      <c r="S36" s="206" t="s">
        <v>211</v>
      </c>
      <c r="T36" s="674"/>
      <c r="U36" s="674"/>
      <c r="V36" s="148" t="s">
        <v>212</v>
      </c>
      <c r="W36" s="675">
        <f t="shared" si="5"/>
        <v>0</v>
      </c>
      <c r="X36" s="675"/>
      <c r="Y36" s="675"/>
      <c r="Z36" s="675"/>
      <c r="AA36" s="157"/>
      <c r="AB36" s="157"/>
      <c r="AC36" s="676"/>
      <c r="AD36" s="677"/>
      <c r="AE36" s="154" t="s">
        <v>151</v>
      </c>
      <c r="AF36" s="155"/>
      <c r="AG36" s="540">
        <f>IF(ISERROR(HLOOKUP(AG32,$DP$32:$DT$39,5,FALSE)),0,HLOOKUP(AG32,$DP$32:$DT$39,5,FALSE))</f>
        <v>0</v>
      </c>
      <c r="AH36" s="351"/>
      <c r="AI36" s="351"/>
      <c r="AJ36" s="352"/>
      <c r="AK36" s="107"/>
      <c r="AL36" s="24"/>
      <c r="AM36" s="222"/>
      <c r="AN36" s="222"/>
      <c r="AO36" s="17"/>
      <c r="AP36" s="680" t="s">
        <v>215</v>
      </c>
      <c r="AQ36" s="681"/>
      <c r="AR36" s="681"/>
      <c r="AS36" s="681"/>
      <c r="AT36" s="681"/>
      <c r="AU36" s="681"/>
      <c r="AV36" s="672">
        <f t="shared" si="6"/>
        <v>0</v>
      </c>
      <c r="AW36" s="672"/>
      <c r="AX36" s="672"/>
      <c r="AY36" s="206" t="s">
        <v>33</v>
      </c>
      <c r="AZ36" s="673">
        <f t="shared" si="10"/>
        <v>0</v>
      </c>
      <c r="BA36" s="673"/>
      <c r="BB36" s="673"/>
      <c r="BC36" s="673"/>
      <c r="BD36" s="206" t="s">
        <v>33</v>
      </c>
      <c r="BE36" s="674"/>
      <c r="BF36" s="674"/>
      <c r="BG36" s="148" t="s">
        <v>23</v>
      </c>
      <c r="BH36" s="675">
        <f t="shared" si="7"/>
        <v>0</v>
      </c>
      <c r="BI36" s="675"/>
      <c r="BJ36" s="675"/>
      <c r="BK36" s="675"/>
      <c r="BL36" s="157"/>
      <c r="BM36" s="157"/>
      <c r="BN36" s="676"/>
      <c r="BO36" s="677"/>
      <c r="BP36" s="154" t="s">
        <v>151</v>
      </c>
      <c r="BQ36" s="155"/>
      <c r="BR36" s="540">
        <f>IF(ISERROR(HLOOKUP(BR32,$DP$32:$DT$39,5,FALSE)),0,HLOOKUP(BR32,$DP$32:$DT$39,5,FALSE))</f>
        <v>0</v>
      </c>
      <c r="BS36" s="351"/>
      <c r="BT36" s="351"/>
      <c r="BU36" s="352"/>
      <c r="BV36" s="107"/>
      <c r="BW36" s="24"/>
      <c r="BX36" s="222"/>
      <c r="BY36" s="222"/>
      <c r="BZ36" s="17"/>
      <c r="CA36" s="680" t="s">
        <v>215</v>
      </c>
      <c r="CB36" s="681"/>
      <c r="CC36" s="681"/>
      <c r="CD36" s="681"/>
      <c r="CE36" s="681"/>
      <c r="CF36" s="681"/>
      <c r="CG36" s="672">
        <f t="shared" si="8"/>
        <v>0</v>
      </c>
      <c r="CH36" s="672"/>
      <c r="CI36" s="672"/>
      <c r="CJ36" s="206" t="s">
        <v>33</v>
      </c>
      <c r="CK36" s="673">
        <f t="shared" si="11"/>
        <v>0</v>
      </c>
      <c r="CL36" s="673"/>
      <c r="CM36" s="673"/>
      <c r="CN36" s="673"/>
      <c r="CO36" s="206" t="s">
        <v>33</v>
      </c>
      <c r="CP36" s="674"/>
      <c r="CQ36" s="674"/>
      <c r="CR36" s="148" t="s">
        <v>23</v>
      </c>
      <c r="CS36" s="675">
        <f t="shared" si="9"/>
        <v>0</v>
      </c>
      <c r="CT36" s="675"/>
      <c r="CU36" s="675"/>
      <c r="CV36" s="675"/>
      <c r="CW36" s="157"/>
      <c r="CX36" s="157"/>
      <c r="CY36" s="676"/>
      <c r="CZ36" s="677"/>
      <c r="DA36" s="154" t="s">
        <v>151</v>
      </c>
      <c r="DB36" s="155"/>
      <c r="DC36" s="540">
        <f>IF(ISERROR(HLOOKUP(DC32,$DP$32:$DT$39,5,FALSE)),0,HLOOKUP(DC32,$DP$32:$DT$39,5,FALSE))</f>
        <v>0</v>
      </c>
      <c r="DD36" s="351"/>
      <c r="DE36" s="351"/>
      <c r="DF36" s="352"/>
      <c r="DG36" s="107"/>
      <c r="DH36" s="106"/>
      <c r="DI36" s="106"/>
      <c r="DJ36" s="106"/>
      <c r="DK36" s="106"/>
      <c r="DL36" s="222"/>
      <c r="DM36" s="3"/>
      <c r="DN36" s="102"/>
      <c r="DO36" s="209" t="s">
        <v>151</v>
      </c>
      <c r="DP36" s="134">
        <v>4.5999999999999999E-2</v>
      </c>
      <c r="DQ36" s="245">
        <v>0.06</v>
      </c>
      <c r="DR36" s="134">
        <v>7.1999999999999995E-2</v>
      </c>
      <c r="DS36" s="134">
        <v>8.1000000000000003E-2</v>
      </c>
      <c r="DT36" s="245">
        <v>0.1</v>
      </c>
      <c r="DU36" s="102"/>
      <c r="DV36" s="102"/>
      <c r="DW36" s="105">
        <v>27</v>
      </c>
      <c r="DX36" s="104">
        <v>14</v>
      </c>
      <c r="DY36" s="102">
        <v>47.399999999999963</v>
      </c>
      <c r="DZ36" s="293">
        <v>0.24</v>
      </c>
      <c r="EA36" s="102">
        <v>3.1</v>
      </c>
    </row>
    <row r="37" spans="1:131" ht="15.75" customHeight="1" x14ac:dyDescent="0.15">
      <c r="A37" s="24"/>
      <c r="B37" s="222"/>
      <c r="C37" s="222"/>
      <c r="D37" s="17"/>
      <c r="E37" s="670" t="s">
        <v>216</v>
      </c>
      <c r="F37" s="671"/>
      <c r="G37" s="671"/>
      <c r="H37" s="671"/>
      <c r="I37" s="671"/>
      <c r="J37" s="671"/>
      <c r="K37" s="672">
        <f t="shared" si="3"/>
        <v>0</v>
      </c>
      <c r="L37" s="672"/>
      <c r="M37" s="672"/>
      <c r="N37" s="206" t="s">
        <v>211</v>
      </c>
      <c r="O37" s="673">
        <f t="shared" si="4"/>
        <v>0</v>
      </c>
      <c r="P37" s="673"/>
      <c r="Q37" s="673"/>
      <c r="R37" s="673"/>
      <c r="S37" s="206" t="s">
        <v>211</v>
      </c>
      <c r="T37" s="674"/>
      <c r="U37" s="674"/>
      <c r="V37" s="148" t="s">
        <v>212</v>
      </c>
      <c r="W37" s="675">
        <f t="shared" si="5"/>
        <v>0</v>
      </c>
      <c r="X37" s="675"/>
      <c r="Y37" s="675"/>
      <c r="Z37" s="675"/>
      <c r="AA37" s="157"/>
      <c r="AB37" s="157"/>
      <c r="AC37" s="676"/>
      <c r="AD37" s="677"/>
      <c r="AE37" s="154" t="s">
        <v>150</v>
      </c>
      <c r="AF37" s="155"/>
      <c r="AG37" s="540">
        <f>IF(ISERROR(HLOOKUP(AG32,$DP$32:$DT$39,6,FALSE)),0,HLOOKUP(AG32,$DP$32:$DT$39,6,FALSE))</f>
        <v>0</v>
      </c>
      <c r="AH37" s="351"/>
      <c r="AI37" s="351"/>
      <c r="AJ37" s="352"/>
      <c r="AK37" s="107"/>
      <c r="AL37" s="24"/>
      <c r="AM37" s="222"/>
      <c r="AN37" s="222"/>
      <c r="AO37" s="17"/>
      <c r="AP37" s="670" t="s">
        <v>216</v>
      </c>
      <c r="AQ37" s="671"/>
      <c r="AR37" s="671"/>
      <c r="AS37" s="671"/>
      <c r="AT37" s="671"/>
      <c r="AU37" s="671"/>
      <c r="AV37" s="672">
        <f t="shared" si="6"/>
        <v>0</v>
      </c>
      <c r="AW37" s="672"/>
      <c r="AX37" s="672"/>
      <c r="AY37" s="206" t="s">
        <v>33</v>
      </c>
      <c r="AZ37" s="673">
        <f t="shared" si="10"/>
        <v>0</v>
      </c>
      <c r="BA37" s="673"/>
      <c r="BB37" s="673"/>
      <c r="BC37" s="673"/>
      <c r="BD37" s="206" t="s">
        <v>33</v>
      </c>
      <c r="BE37" s="674"/>
      <c r="BF37" s="674"/>
      <c r="BG37" s="148" t="s">
        <v>23</v>
      </c>
      <c r="BH37" s="675">
        <f t="shared" si="7"/>
        <v>0</v>
      </c>
      <c r="BI37" s="675"/>
      <c r="BJ37" s="675"/>
      <c r="BK37" s="675"/>
      <c r="BL37" s="157"/>
      <c r="BM37" s="157"/>
      <c r="BN37" s="676"/>
      <c r="BO37" s="677"/>
      <c r="BP37" s="154" t="s">
        <v>150</v>
      </c>
      <c r="BQ37" s="155"/>
      <c r="BR37" s="540">
        <f>IF(ISERROR(HLOOKUP(BR32,$DP$32:$DT$39,6,FALSE)),0,HLOOKUP(BR32,$DP$32:$DT$39,6,FALSE))</f>
        <v>0</v>
      </c>
      <c r="BS37" s="351"/>
      <c r="BT37" s="351"/>
      <c r="BU37" s="352"/>
      <c r="BV37" s="107"/>
      <c r="BW37" s="24"/>
      <c r="BX37" s="222"/>
      <c r="BY37" s="222"/>
      <c r="BZ37" s="17"/>
      <c r="CA37" s="670" t="s">
        <v>216</v>
      </c>
      <c r="CB37" s="671"/>
      <c r="CC37" s="671"/>
      <c r="CD37" s="671"/>
      <c r="CE37" s="671"/>
      <c r="CF37" s="671"/>
      <c r="CG37" s="672">
        <f t="shared" si="8"/>
        <v>0</v>
      </c>
      <c r="CH37" s="672"/>
      <c r="CI37" s="672"/>
      <c r="CJ37" s="206" t="s">
        <v>33</v>
      </c>
      <c r="CK37" s="673">
        <f t="shared" si="11"/>
        <v>0</v>
      </c>
      <c r="CL37" s="673"/>
      <c r="CM37" s="673"/>
      <c r="CN37" s="673"/>
      <c r="CO37" s="206" t="s">
        <v>33</v>
      </c>
      <c r="CP37" s="674"/>
      <c r="CQ37" s="674"/>
      <c r="CR37" s="148" t="s">
        <v>23</v>
      </c>
      <c r="CS37" s="675">
        <f t="shared" si="9"/>
        <v>0</v>
      </c>
      <c r="CT37" s="675"/>
      <c r="CU37" s="675"/>
      <c r="CV37" s="675"/>
      <c r="CW37" s="157"/>
      <c r="CX37" s="157"/>
      <c r="CY37" s="676"/>
      <c r="CZ37" s="677"/>
      <c r="DA37" s="154" t="s">
        <v>150</v>
      </c>
      <c r="DB37" s="155"/>
      <c r="DC37" s="540">
        <f>IF(ISERROR(HLOOKUP(DC32,$DP$32:$DT$39,6,FALSE)),0,HLOOKUP(DC32,$DP$32:$DT$39,6,FALSE))</f>
        <v>0</v>
      </c>
      <c r="DD37" s="351"/>
      <c r="DE37" s="351"/>
      <c r="DF37" s="352"/>
      <c r="DG37" s="107"/>
      <c r="DH37" s="106"/>
      <c r="DI37" s="106"/>
      <c r="DJ37" s="106"/>
      <c r="DK37" s="106"/>
      <c r="DL37" s="222"/>
      <c r="DM37" s="3"/>
      <c r="DN37" s="102"/>
      <c r="DO37" s="209" t="s">
        <v>150</v>
      </c>
      <c r="DP37" s="134">
        <v>1.7000000000000001E-2</v>
      </c>
      <c r="DQ37" s="134">
        <v>2.1000000000000001E-2</v>
      </c>
      <c r="DR37" s="134">
        <v>2.5000000000000001E-2</v>
      </c>
      <c r="DS37" s="134">
        <v>2.8000000000000001E-2</v>
      </c>
      <c r="DT37" s="134">
        <v>4.2000000000000003E-2</v>
      </c>
      <c r="DU37" s="102"/>
      <c r="DV37" s="102"/>
      <c r="DW37" s="105">
        <v>28</v>
      </c>
      <c r="DX37" s="104">
        <v>14.5</v>
      </c>
      <c r="DY37" s="102">
        <v>47.299999999999962</v>
      </c>
      <c r="DZ37" s="293">
        <v>0.23</v>
      </c>
      <c r="EA37" s="102">
        <v>3.2</v>
      </c>
    </row>
    <row r="38" spans="1:131" ht="15.75" customHeight="1" x14ac:dyDescent="0.15">
      <c r="A38" s="24"/>
      <c r="B38" s="222"/>
      <c r="C38" s="222"/>
      <c r="D38" s="17"/>
      <c r="E38" s="670" t="s">
        <v>217</v>
      </c>
      <c r="F38" s="671"/>
      <c r="G38" s="671"/>
      <c r="H38" s="671"/>
      <c r="I38" s="671"/>
      <c r="J38" s="671"/>
      <c r="K38" s="686">
        <f t="shared" si="3"/>
        <v>0</v>
      </c>
      <c r="L38" s="672"/>
      <c r="M38" s="672"/>
      <c r="N38" s="206" t="s">
        <v>211</v>
      </c>
      <c r="O38" s="673">
        <f t="shared" si="4"/>
        <v>0</v>
      </c>
      <c r="P38" s="673"/>
      <c r="Q38" s="673"/>
      <c r="R38" s="673"/>
      <c r="S38" s="206" t="s">
        <v>211</v>
      </c>
      <c r="T38" s="674"/>
      <c r="U38" s="674"/>
      <c r="V38" s="148" t="s">
        <v>212</v>
      </c>
      <c r="W38" s="675">
        <f t="shared" si="5"/>
        <v>0</v>
      </c>
      <c r="X38" s="675"/>
      <c r="Y38" s="675"/>
      <c r="Z38" s="675"/>
      <c r="AA38" s="157"/>
      <c r="AB38" s="157"/>
      <c r="AC38" s="678"/>
      <c r="AD38" s="679"/>
      <c r="AE38" s="154" t="s">
        <v>149</v>
      </c>
      <c r="AF38" s="155"/>
      <c r="AG38" s="574">
        <f>IF(ISERROR(HLOOKUP(AG32,$DP$32:$DT$39,7,FALSE)),0,HLOOKUP(AG32,$DP$32:$DT$39,7,FALSE))</f>
        <v>0</v>
      </c>
      <c r="AH38" s="541"/>
      <c r="AI38" s="541"/>
      <c r="AJ38" s="575"/>
      <c r="AK38" s="107"/>
      <c r="AL38" s="24"/>
      <c r="AM38" s="222"/>
      <c r="AN38" s="222"/>
      <c r="AO38" s="17"/>
      <c r="AP38" s="670" t="s">
        <v>217</v>
      </c>
      <c r="AQ38" s="671"/>
      <c r="AR38" s="671"/>
      <c r="AS38" s="671"/>
      <c r="AT38" s="671"/>
      <c r="AU38" s="671"/>
      <c r="AV38" s="686">
        <f t="shared" si="6"/>
        <v>0</v>
      </c>
      <c r="AW38" s="672"/>
      <c r="AX38" s="672"/>
      <c r="AY38" s="206" t="s">
        <v>33</v>
      </c>
      <c r="AZ38" s="673">
        <f t="shared" si="10"/>
        <v>0</v>
      </c>
      <c r="BA38" s="673"/>
      <c r="BB38" s="673"/>
      <c r="BC38" s="673"/>
      <c r="BD38" s="206" t="s">
        <v>33</v>
      </c>
      <c r="BE38" s="674"/>
      <c r="BF38" s="674"/>
      <c r="BG38" s="148" t="s">
        <v>23</v>
      </c>
      <c r="BH38" s="675">
        <f t="shared" si="7"/>
        <v>0</v>
      </c>
      <c r="BI38" s="675"/>
      <c r="BJ38" s="675"/>
      <c r="BK38" s="675"/>
      <c r="BL38" s="157"/>
      <c r="BM38" s="157"/>
      <c r="BN38" s="678"/>
      <c r="BO38" s="679"/>
      <c r="BP38" s="154" t="s">
        <v>149</v>
      </c>
      <c r="BQ38" s="155"/>
      <c r="BR38" s="574">
        <f>IF(ISERROR(HLOOKUP(BR32,$DP$32:$DT$39,7,FALSE)),0,HLOOKUP(BR32,$DP$32:$DT$39,7,FALSE))</f>
        <v>0</v>
      </c>
      <c r="BS38" s="541"/>
      <c r="BT38" s="541"/>
      <c r="BU38" s="575"/>
      <c r="BV38" s="107"/>
      <c r="BW38" s="24"/>
      <c r="BX38" s="222"/>
      <c r="BY38" s="222"/>
      <c r="BZ38" s="17"/>
      <c r="CA38" s="670" t="s">
        <v>217</v>
      </c>
      <c r="CB38" s="671"/>
      <c r="CC38" s="671"/>
      <c r="CD38" s="671"/>
      <c r="CE38" s="671"/>
      <c r="CF38" s="671"/>
      <c r="CG38" s="686">
        <f t="shared" si="8"/>
        <v>0</v>
      </c>
      <c r="CH38" s="672"/>
      <c r="CI38" s="672"/>
      <c r="CJ38" s="206" t="s">
        <v>33</v>
      </c>
      <c r="CK38" s="673">
        <f t="shared" si="11"/>
        <v>0</v>
      </c>
      <c r="CL38" s="673"/>
      <c r="CM38" s="673"/>
      <c r="CN38" s="673"/>
      <c r="CO38" s="206" t="s">
        <v>33</v>
      </c>
      <c r="CP38" s="674"/>
      <c r="CQ38" s="674"/>
      <c r="CR38" s="148" t="s">
        <v>23</v>
      </c>
      <c r="CS38" s="675">
        <f t="shared" si="9"/>
        <v>0</v>
      </c>
      <c r="CT38" s="675"/>
      <c r="CU38" s="675"/>
      <c r="CV38" s="675"/>
      <c r="CW38" s="157"/>
      <c r="CX38" s="157"/>
      <c r="CY38" s="678"/>
      <c r="CZ38" s="679"/>
      <c r="DA38" s="154" t="s">
        <v>149</v>
      </c>
      <c r="DB38" s="155"/>
      <c r="DC38" s="574">
        <f>IF(ISERROR(HLOOKUP(DC32,$DP$32:$DT$39,7,FALSE)),0,HLOOKUP(DC32,$DP$32:$DT$39,7,FALSE))</f>
        <v>0</v>
      </c>
      <c r="DD38" s="541"/>
      <c r="DE38" s="541"/>
      <c r="DF38" s="575"/>
      <c r="DG38" s="107"/>
      <c r="DH38" s="106"/>
      <c r="DI38" s="106"/>
      <c r="DJ38" s="106"/>
      <c r="DK38" s="106"/>
      <c r="DL38" s="222"/>
      <c r="DM38" s="3"/>
      <c r="DN38" s="102"/>
      <c r="DO38" s="209" t="s">
        <v>149</v>
      </c>
      <c r="DP38" s="245">
        <v>0.01</v>
      </c>
      <c r="DQ38" s="134">
        <v>8.0000000000000002E-3</v>
      </c>
      <c r="DR38" s="134">
        <v>7.0000000000000001E-3</v>
      </c>
      <c r="DS38" s="134">
        <v>7.0000000000000001E-3</v>
      </c>
      <c r="DT38" s="134">
        <v>8.0000000000000002E-3</v>
      </c>
      <c r="DU38" s="102"/>
      <c r="DV38" s="102"/>
      <c r="DW38" s="105">
        <v>29</v>
      </c>
      <c r="DX38" s="104">
        <v>15</v>
      </c>
      <c r="DY38" s="102">
        <v>47.19999999999996</v>
      </c>
      <c r="DZ38" s="293">
        <v>0.22</v>
      </c>
      <c r="EA38" s="102">
        <v>3.3</v>
      </c>
    </row>
    <row r="39" spans="1:131" ht="15.75" customHeight="1" x14ac:dyDescent="0.15">
      <c r="A39" s="24"/>
      <c r="B39" s="222"/>
      <c r="C39" s="222"/>
      <c r="D39" s="17"/>
      <c r="E39" s="158" t="s">
        <v>233</v>
      </c>
      <c r="F39" s="138"/>
      <c r="G39" s="138"/>
      <c r="H39" s="138"/>
      <c r="I39" s="138"/>
      <c r="J39" s="138"/>
      <c r="K39" s="138"/>
      <c r="L39" s="139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59"/>
      <c r="AA39" s="160"/>
      <c r="AB39" s="160"/>
      <c r="AC39" s="138"/>
      <c r="AD39" s="138"/>
      <c r="AE39" s="138"/>
      <c r="AF39" s="138"/>
      <c r="AG39" s="138"/>
      <c r="AH39" s="138"/>
      <c r="AI39" s="138"/>
      <c r="AJ39" s="138"/>
      <c r="AK39" s="144"/>
      <c r="AL39" s="24"/>
      <c r="AM39" s="222"/>
      <c r="AN39" s="222"/>
      <c r="AO39" s="17"/>
      <c r="AP39" s="158" t="s">
        <v>233</v>
      </c>
      <c r="AQ39" s="138"/>
      <c r="AR39" s="138"/>
      <c r="AS39" s="138"/>
      <c r="AT39" s="138"/>
      <c r="AU39" s="138"/>
      <c r="AV39" s="138"/>
      <c r="AW39" s="139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59"/>
      <c r="BL39" s="160"/>
      <c r="BM39" s="160"/>
      <c r="BN39" s="138"/>
      <c r="BO39" s="138"/>
      <c r="BP39" s="138"/>
      <c r="BQ39" s="138"/>
      <c r="BR39" s="138"/>
      <c r="BS39" s="138"/>
      <c r="BT39" s="138"/>
      <c r="BU39" s="138"/>
      <c r="BV39" s="144"/>
      <c r="BW39" s="24"/>
      <c r="BX39" s="222"/>
      <c r="BY39" s="222"/>
      <c r="BZ39" s="17"/>
      <c r="CA39" s="158" t="s">
        <v>233</v>
      </c>
      <c r="CB39" s="138"/>
      <c r="CC39" s="138"/>
      <c r="CD39" s="138"/>
      <c r="CE39" s="138"/>
      <c r="CF39" s="138"/>
      <c r="CG39" s="138"/>
      <c r="CH39" s="139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59"/>
      <c r="CW39" s="160"/>
      <c r="CX39" s="160"/>
      <c r="CY39" s="138"/>
      <c r="CZ39" s="138"/>
      <c r="DA39" s="138"/>
      <c r="DB39" s="138"/>
      <c r="DC39" s="138"/>
      <c r="DD39" s="138"/>
      <c r="DE39" s="138"/>
      <c r="DF39" s="138"/>
      <c r="DG39" s="144"/>
      <c r="DH39" s="106"/>
      <c r="DI39" s="106"/>
      <c r="DJ39" s="106"/>
      <c r="DK39" s="106"/>
      <c r="DL39" s="222"/>
      <c r="DM39" s="3"/>
      <c r="DN39" s="102"/>
      <c r="DO39" s="211" t="s">
        <v>148</v>
      </c>
      <c r="DP39" s="246">
        <v>4.4200000000000003E-3</v>
      </c>
      <c r="DQ39" s="246">
        <v>7.8499999999999993E-3</v>
      </c>
      <c r="DR39" s="246">
        <v>1.77E-2</v>
      </c>
      <c r="DS39" s="246">
        <v>3.1399999999999997E-2</v>
      </c>
      <c r="DT39" s="246">
        <v>4.9000000000000002E-2</v>
      </c>
      <c r="DU39" s="102"/>
      <c r="DV39" s="102"/>
      <c r="DW39" s="105">
        <v>30</v>
      </c>
      <c r="DX39" s="104">
        <v>15.5</v>
      </c>
      <c r="DY39" s="102">
        <v>47.099999999999959</v>
      </c>
      <c r="DZ39" s="293">
        <v>0.21</v>
      </c>
      <c r="EA39" s="102">
        <v>3.4</v>
      </c>
    </row>
    <row r="40" spans="1:131" ht="13.5" customHeight="1" x14ac:dyDescent="0.15">
      <c r="A40" s="24"/>
      <c r="B40" s="222"/>
      <c r="C40" s="222"/>
      <c r="D40" s="17"/>
      <c r="E40" s="658" t="s">
        <v>147</v>
      </c>
      <c r="F40" s="659"/>
      <c r="G40" s="659"/>
      <c r="H40" s="659"/>
      <c r="I40" s="659"/>
      <c r="J40" s="659"/>
      <c r="K40" s="659"/>
      <c r="L40" s="659"/>
      <c r="M40" s="659"/>
      <c r="N40" s="659"/>
      <c r="O40" s="659"/>
      <c r="P40" s="659"/>
      <c r="Q40" s="659"/>
      <c r="R40" s="659"/>
      <c r="S40" s="659"/>
      <c r="T40" s="659"/>
      <c r="U40" s="659"/>
      <c r="V40" s="659"/>
      <c r="W40" s="659"/>
      <c r="X40" s="659"/>
      <c r="Y40" s="659"/>
      <c r="Z40" s="659"/>
      <c r="AA40" s="659"/>
      <c r="AB40" s="659"/>
      <c r="AC40" s="659"/>
      <c r="AD40" s="659"/>
      <c r="AE40" s="659"/>
      <c r="AF40" s="659"/>
      <c r="AG40" s="659"/>
      <c r="AH40" s="659"/>
      <c r="AI40" s="659"/>
      <c r="AJ40" s="659"/>
      <c r="AK40" s="660"/>
      <c r="AL40" s="24"/>
      <c r="AM40" s="222"/>
      <c r="AN40" s="222"/>
      <c r="AO40" s="17"/>
      <c r="AP40" s="658" t="s">
        <v>147</v>
      </c>
      <c r="AQ40" s="659"/>
      <c r="AR40" s="659"/>
      <c r="AS40" s="659"/>
      <c r="AT40" s="659"/>
      <c r="AU40" s="659"/>
      <c r="AV40" s="659"/>
      <c r="AW40" s="659"/>
      <c r="AX40" s="659"/>
      <c r="AY40" s="659"/>
      <c r="AZ40" s="659"/>
      <c r="BA40" s="659"/>
      <c r="BB40" s="659"/>
      <c r="BC40" s="659"/>
      <c r="BD40" s="659"/>
      <c r="BE40" s="659"/>
      <c r="BF40" s="659"/>
      <c r="BG40" s="659"/>
      <c r="BH40" s="659"/>
      <c r="BI40" s="659"/>
      <c r="BJ40" s="659"/>
      <c r="BK40" s="659"/>
      <c r="BL40" s="659"/>
      <c r="BM40" s="659"/>
      <c r="BN40" s="659"/>
      <c r="BO40" s="659"/>
      <c r="BP40" s="659"/>
      <c r="BQ40" s="659"/>
      <c r="BR40" s="659"/>
      <c r="BS40" s="659"/>
      <c r="BT40" s="659"/>
      <c r="BU40" s="659"/>
      <c r="BV40" s="660"/>
      <c r="BW40" s="24"/>
      <c r="BX40" s="222"/>
      <c r="BY40" s="222"/>
      <c r="BZ40" s="17"/>
      <c r="CA40" s="658" t="s">
        <v>147</v>
      </c>
      <c r="CB40" s="659"/>
      <c r="CC40" s="659"/>
      <c r="CD40" s="659"/>
      <c r="CE40" s="659"/>
      <c r="CF40" s="659"/>
      <c r="CG40" s="659"/>
      <c r="CH40" s="659"/>
      <c r="CI40" s="659"/>
      <c r="CJ40" s="659"/>
      <c r="CK40" s="659"/>
      <c r="CL40" s="659"/>
      <c r="CM40" s="659"/>
      <c r="CN40" s="659"/>
      <c r="CO40" s="659"/>
      <c r="CP40" s="659"/>
      <c r="CQ40" s="659"/>
      <c r="CR40" s="659"/>
      <c r="CS40" s="659"/>
      <c r="CT40" s="659"/>
      <c r="CU40" s="659"/>
      <c r="CV40" s="659"/>
      <c r="CW40" s="659"/>
      <c r="CX40" s="659"/>
      <c r="CY40" s="659"/>
      <c r="CZ40" s="659"/>
      <c r="DA40" s="659"/>
      <c r="DB40" s="659"/>
      <c r="DC40" s="659"/>
      <c r="DD40" s="659"/>
      <c r="DE40" s="659"/>
      <c r="DF40" s="659"/>
      <c r="DG40" s="660"/>
      <c r="DH40" s="194"/>
      <c r="DI40" s="194"/>
      <c r="DJ40" s="194"/>
      <c r="DK40" s="194"/>
      <c r="DL40" s="222"/>
      <c r="DM40" s="3"/>
      <c r="DN40" s="102"/>
      <c r="DO40" s="102"/>
      <c r="DP40" s="102"/>
      <c r="DQ40" s="102"/>
      <c r="DR40" s="102"/>
      <c r="DS40" s="102"/>
      <c r="DT40" s="102"/>
      <c r="DU40" s="102"/>
      <c r="DV40" s="102"/>
      <c r="DW40" s="105">
        <v>35</v>
      </c>
      <c r="DX40" s="104">
        <v>16</v>
      </c>
      <c r="DY40" s="102">
        <v>46.999999999999957</v>
      </c>
      <c r="DZ40" s="293">
        <v>0.2</v>
      </c>
      <c r="EA40" s="102">
        <v>3.5</v>
      </c>
    </row>
    <row r="41" spans="1:131" ht="9.75" customHeight="1" x14ac:dyDescent="0.15">
      <c r="A41" s="108"/>
      <c r="B41" s="106"/>
      <c r="C41" s="106"/>
      <c r="D41" s="106"/>
      <c r="E41" s="175"/>
      <c r="F41" s="106"/>
      <c r="G41" s="106"/>
      <c r="H41" s="180" t="s">
        <v>206</v>
      </c>
      <c r="I41" s="106"/>
      <c r="J41" s="106"/>
      <c r="K41" s="106"/>
      <c r="L41" s="180" t="s">
        <v>207</v>
      </c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7"/>
      <c r="AL41" s="108"/>
      <c r="AM41" s="106"/>
      <c r="AN41" s="106"/>
      <c r="AO41" s="106"/>
      <c r="AP41" s="175"/>
      <c r="AQ41" s="106"/>
      <c r="AR41" s="106"/>
      <c r="AS41" s="180" t="s">
        <v>206</v>
      </c>
      <c r="AT41" s="106"/>
      <c r="AU41" s="106"/>
      <c r="AV41" s="106"/>
      <c r="AW41" s="180" t="s">
        <v>207</v>
      </c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7"/>
      <c r="BW41" s="108"/>
      <c r="BX41" s="106"/>
      <c r="BY41" s="106"/>
      <c r="BZ41" s="106"/>
      <c r="CA41" s="175"/>
      <c r="CB41" s="106"/>
      <c r="CC41" s="106"/>
      <c r="CD41" s="180" t="s">
        <v>206</v>
      </c>
      <c r="CE41" s="106"/>
      <c r="CF41" s="106"/>
      <c r="CG41" s="106"/>
      <c r="CH41" s="180" t="s">
        <v>207</v>
      </c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7"/>
      <c r="DH41" s="106"/>
      <c r="DI41" s="106"/>
      <c r="DJ41" s="106"/>
      <c r="DK41" s="106"/>
      <c r="DL41" s="222"/>
      <c r="DM41" s="3"/>
      <c r="DN41" s="102"/>
      <c r="DO41" s="102"/>
      <c r="DP41" s="102"/>
      <c r="DQ41" s="102"/>
      <c r="DR41" s="102"/>
      <c r="DS41" s="102"/>
      <c r="DT41" s="106"/>
      <c r="DU41" s="102"/>
      <c r="DV41" s="102"/>
      <c r="DW41" s="105">
        <v>40</v>
      </c>
      <c r="DX41" s="104">
        <v>16.5</v>
      </c>
      <c r="DY41" s="102">
        <v>46.899999999999956</v>
      </c>
      <c r="DZ41" s="293">
        <v>0.19</v>
      </c>
      <c r="EA41" s="102">
        <v>3.6</v>
      </c>
    </row>
    <row r="42" spans="1:131" ht="13.5" customHeight="1" x14ac:dyDescent="0.15">
      <c r="A42" s="24"/>
      <c r="B42" s="222"/>
      <c r="C42" s="222"/>
      <c r="D42" s="17"/>
      <c r="E42" s="60" t="s">
        <v>145</v>
      </c>
      <c r="F42" s="60" t="s">
        <v>102</v>
      </c>
      <c r="G42" s="661">
        <f>G20</f>
        <v>0</v>
      </c>
      <c r="H42" s="661"/>
      <c r="I42" s="661"/>
      <c r="J42" s="661"/>
      <c r="K42" s="181" t="s">
        <v>208</v>
      </c>
      <c r="L42" s="662">
        <f>SUM(W33:W38)</f>
        <v>0</v>
      </c>
      <c r="M42" s="662"/>
      <c r="N42" s="662"/>
      <c r="O42" s="662"/>
      <c r="P42" s="106"/>
      <c r="Q42" s="106"/>
      <c r="R42" s="176"/>
      <c r="S42" s="106"/>
      <c r="T42" s="106"/>
      <c r="U42" s="106"/>
      <c r="V42" s="110"/>
      <c r="W42" s="110"/>
      <c r="X42" s="148"/>
      <c r="Y42" s="106"/>
      <c r="Z42" s="106"/>
      <c r="AA42" s="106"/>
      <c r="AB42" s="106"/>
      <c r="AC42" s="106"/>
      <c r="AD42" s="110"/>
      <c r="AE42" s="110"/>
      <c r="AF42" s="148"/>
      <c r="AG42" s="148"/>
      <c r="AH42" s="110"/>
      <c r="AI42" s="110"/>
      <c r="AJ42" s="106"/>
      <c r="AK42" s="107"/>
      <c r="AL42" s="24"/>
      <c r="AM42" s="222"/>
      <c r="AN42" s="222"/>
      <c r="AO42" s="17"/>
      <c r="AP42" s="60" t="s">
        <v>145</v>
      </c>
      <c r="AQ42" s="60" t="s">
        <v>102</v>
      </c>
      <c r="AR42" s="661">
        <f>AR20</f>
        <v>0</v>
      </c>
      <c r="AS42" s="661"/>
      <c r="AT42" s="661"/>
      <c r="AU42" s="661"/>
      <c r="AV42" s="181" t="s">
        <v>208</v>
      </c>
      <c r="AW42" s="662">
        <f>SUM(BH33:BH38)</f>
        <v>0</v>
      </c>
      <c r="AX42" s="662"/>
      <c r="AY42" s="662"/>
      <c r="AZ42" s="662"/>
      <c r="BA42" s="106"/>
      <c r="BB42" s="106"/>
      <c r="BC42" s="176"/>
      <c r="BD42" s="106"/>
      <c r="BE42" s="106"/>
      <c r="BF42" s="106"/>
      <c r="BG42" s="110"/>
      <c r="BH42" s="110"/>
      <c r="BI42" s="148"/>
      <c r="BJ42" s="106"/>
      <c r="BK42" s="106"/>
      <c r="BL42" s="106"/>
      <c r="BM42" s="106"/>
      <c r="BN42" s="106"/>
      <c r="BO42" s="110"/>
      <c r="BP42" s="110"/>
      <c r="BQ42" s="148"/>
      <c r="BR42" s="148"/>
      <c r="BS42" s="110"/>
      <c r="BT42" s="110"/>
      <c r="BU42" s="106"/>
      <c r="BV42" s="107"/>
      <c r="BW42" s="24"/>
      <c r="BX42" s="222"/>
      <c r="BY42" s="222"/>
      <c r="BZ42" s="17"/>
      <c r="CA42" s="60" t="s">
        <v>145</v>
      </c>
      <c r="CB42" s="60" t="s">
        <v>102</v>
      </c>
      <c r="CC42" s="661">
        <f>CC20</f>
        <v>0</v>
      </c>
      <c r="CD42" s="661"/>
      <c r="CE42" s="661"/>
      <c r="CF42" s="661"/>
      <c r="CG42" s="181" t="s">
        <v>208</v>
      </c>
      <c r="CH42" s="662">
        <f>SUM(CS33:CS38)</f>
        <v>0</v>
      </c>
      <c r="CI42" s="662"/>
      <c r="CJ42" s="662"/>
      <c r="CK42" s="662"/>
      <c r="CL42" s="106"/>
      <c r="CM42" s="106"/>
      <c r="CN42" s="176"/>
      <c r="CO42" s="106"/>
      <c r="CP42" s="106"/>
      <c r="CQ42" s="106"/>
      <c r="CR42" s="110"/>
      <c r="CS42" s="110"/>
      <c r="CT42" s="148"/>
      <c r="CU42" s="106"/>
      <c r="CV42" s="106"/>
      <c r="CW42" s="106"/>
      <c r="CX42" s="106"/>
      <c r="CY42" s="106"/>
      <c r="CZ42" s="110"/>
      <c r="DA42" s="110"/>
      <c r="DB42" s="148"/>
      <c r="DC42" s="148"/>
      <c r="DD42" s="110"/>
      <c r="DE42" s="110"/>
      <c r="DF42" s="106"/>
      <c r="DG42" s="107"/>
      <c r="DH42" s="106"/>
      <c r="DI42" s="106"/>
      <c r="DJ42" s="106"/>
      <c r="DK42" s="106"/>
      <c r="DL42" s="222"/>
      <c r="DM42" s="3"/>
      <c r="DN42" s="3"/>
      <c r="DO42" s="102"/>
      <c r="DP42" s="102"/>
      <c r="DQ42" s="102"/>
      <c r="DR42" s="102"/>
      <c r="DS42" s="102"/>
      <c r="DT42" s="102"/>
      <c r="DU42" s="102"/>
      <c r="DV42" s="102"/>
      <c r="DW42" s="105">
        <v>45</v>
      </c>
      <c r="DX42" s="104">
        <v>17</v>
      </c>
      <c r="DY42" s="102">
        <v>46.799999999999955</v>
      </c>
      <c r="DZ42" s="293">
        <v>0.18</v>
      </c>
      <c r="EA42" s="102">
        <v>3.7</v>
      </c>
    </row>
    <row r="43" spans="1:131" ht="19.5" customHeight="1" x14ac:dyDescent="0.15">
      <c r="A43" s="39"/>
      <c r="B43" s="222"/>
      <c r="C43" s="222"/>
      <c r="D43" s="17"/>
      <c r="E43" s="222"/>
      <c r="F43" s="222" t="s">
        <v>102</v>
      </c>
      <c r="G43" s="663">
        <f>ROUND(G42+L42,1)</f>
        <v>0</v>
      </c>
      <c r="H43" s="663"/>
      <c r="I43" s="663"/>
      <c r="J43" s="663"/>
      <c r="K43" s="663"/>
      <c r="L43" s="177" t="s">
        <v>101</v>
      </c>
      <c r="M43" s="106"/>
      <c r="N43" s="106"/>
      <c r="O43" s="106"/>
      <c r="P43" s="106"/>
      <c r="Q43" s="178"/>
      <c r="R43" s="198"/>
      <c r="S43" s="198"/>
      <c r="T43" s="198"/>
      <c r="U43" s="178"/>
      <c r="V43" s="106"/>
      <c r="W43" s="106"/>
      <c r="X43" s="106"/>
      <c r="Y43" s="106"/>
      <c r="Z43" s="179"/>
      <c r="AA43" s="179"/>
      <c r="AB43" s="106"/>
      <c r="AC43" s="179"/>
      <c r="AD43" s="179"/>
      <c r="AE43" s="179"/>
      <c r="AF43" s="106"/>
      <c r="AG43" s="179"/>
      <c r="AH43" s="179"/>
      <c r="AI43" s="179"/>
      <c r="AJ43" s="106"/>
      <c r="AK43" s="107"/>
      <c r="AL43" s="39"/>
      <c r="AM43" s="222"/>
      <c r="AN43" s="222"/>
      <c r="AO43" s="17"/>
      <c r="AP43" s="222"/>
      <c r="AQ43" s="222" t="s">
        <v>102</v>
      </c>
      <c r="AR43" s="663">
        <f>ROUND(AR42+AW42,1)</f>
        <v>0</v>
      </c>
      <c r="AS43" s="663"/>
      <c r="AT43" s="663"/>
      <c r="AU43" s="663"/>
      <c r="AV43" s="663"/>
      <c r="AW43" s="177" t="s">
        <v>101</v>
      </c>
      <c r="AX43" s="106"/>
      <c r="AY43" s="106"/>
      <c r="AZ43" s="106"/>
      <c r="BA43" s="106"/>
      <c r="BB43" s="178"/>
      <c r="BC43" s="198"/>
      <c r="BD43" s="198"/>
      <c r="BE43" s="198"/>
      <c r="BF43" s="178"/>
      <c r="BG43" s="106"/>
      <c r="BH43" s="106"/>
      <c r="BI43" s="106"/>
      <c r="BJ43" s="106"/>
      <c r="BK43" s="179"/>
      <c r="BL43" s="179"/>
      <c r="BM43" s="106"/>
      <c r="BN43" s="179"/>
      <c r="BO43" s="179"/>
      <c r="BP43" s="179"/>
      <c r="BQ43" s="106"/>
      <c r="BR43" s="179"/>
      <c r="BS43" s="179"/>
      <c r="BT43" s="179"/>
      <c r="BU43" s="106"/>
      <c r="BV43" s="107"/>
      <c r="BW43" s="39"/>
      <c r="BX43" s="222"/>
      <c r="BY43" s="222"/>
      <c r="BZ43" s="17"/>
      <c r="CA43" s="222"/>
      <c r="CB43" s="222" t="s">
        <v>102</v>
      </c>
      <c r="CC43" s="663">
        <f>ROUND(CC42+CH42,1)</f>
        <v>0</v>
      </c>
      <c r="CD43" s="663"/>
      <c r="CE43" s="663"/>
      <c r="CF43" s="663"/>
      <c r="CG43" s="663"/>
      <c r="CH43" s="177" t="s">
        <v>101</v>
      </c>
      <c r="CI43" s="106"/>
      <c r="CJ43" s="106"/>
      <c r="CK43" s="106"/>
      <c r="CL43" s="106"/>
      <c r="CM43" s="178"/>
      <c r="CN43" s="198"/>
      <c r="CO43" s="198"/>
      <c r="CP43" s="198"/>
      <c r="CQ43" s="178"/>
      <c r="CR43" s="106"/>
      <c r="CS43" s="106"/>
      <c r="CT43" s="106"/>
      <c r="CU43" s="106"/>
      <c r="CV43" s="179"/>
      <c r="CW43" s="179"/>
      <c r="CX43" s="106"/>
      <c r="CY43" s="179"/>
      <c r="CZ43" s="179"/>
      <c r="DA43" s="179"/>
      <c r="DB43" s="106"/>
      <c r="DC43" s="179"/>
      <c r="DD43" s="179"/>
      <c r="DE43" s="179"/>
      <c r="DF43" s="106"/>
      <c r="DG43" s="107"/>
      <c r="DH43" s="106"/>
      <c r="DI43" s="106"/>
      <c r="DJ43" s="106"/>
      <c r="DK43" s="106"/>
      <c r="DL43" s="222"/>
      <c r="DM43" s="3"/>
      <c r="DN43" s="3"/>
      <c r="DO43" s="102"/>
      <c r="DP43" s="102"/>
      <c r="DQ43" s="102"/>
      <c r="DR43" s="102"/>
      <c r="DS43" s="102"/>
      <c r="DT43" s="102"/>
      <c r="DU43" s="102"/>
      <c r="DV43" s="102"/>
      <c r="DW43" s="109">
        <v>50</v>
      </c>
      <c r="DX43" s="104">
        <v>17.5</v>
      </c>
      <c r="DY43" s="106">
        <v>46.699999999999953</v>
      </c>
      <c r="DZ43" s="294">
        <v>0.17</v>
      </c>
      <c r="EA43" s="102">
        <v>3.8</v>
      </c>
    </row>
    <row r="44" spans="1:131" ht="17.25" customHeight="1" x14ac:dyDescent="0.15">
      <c r="A44" s="4" t="s">
        <v>107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00"/>
      <c r="R44" s="500"/>
      <c r="S44" s="500"/>
      <c r="T44" s="500"/>
      <c r="U44" s="500"/>
      <c r="V44" s="500"/>
      <c r="W44" s="500"/>
      <c r="X44" s="500"/>
      <c r="Y44" s="500"/>
      <c r="Z44" s="500"/>
      <c r="AA44" s="500"/>
      <c r="AB44" s="500"/>
      <c r="AC44" s="500"/>
      <c r="AD44" s="500"/>
      <c r="AE44" s="500"/>
      <c r="AF44" s="500"/>
      <c r="AG44" s="500"/>
      <c r="AH44" s="500"/>
      <c r="AI44" s="500"/>
      <c r="AJ44" s="500"/>
      <c r="AK44" s="501"/>
      <c r="AL44" s="664"/>
      <c r="AM44" s="665"/>
      <c r="AN44" s="665"/>
      <c r="AO44" s="665"/>
      <c r="AP44" s="665"/>
      <c r="AQ44" s="665"/>
      <c r="AR44" s="665"/>
      <c r="AS44" s="665"/>
      <c r="AT44" s="665"/>
      <c r="AU44" s="665"/>
      <c r="AV44" s="665"/>
      <c r="AW44" s="665"/>
      <c r="AX44" s="665"/>
      <c r="AY44" s="665"/>
      <c r="AZ44" s="665"/>
      <c r="BA44" s="665"/>
      <c r="BB44" s="665"/>
      <c r="BC44" s="665"/>
      <c r="BD44" s="665"/>
      <c r="BE44" s="665"/>
      <c r="BF44" s="665"/>
      <c r="BG44" s="665"/>
      <c r="BH44" s="665"/>
      <c r="BI44" s="665"/>
      <c r="BJ44" s="665"/>
      <c r="BK44" s="665"/>
      <c r="BL44" s="665"/>
      <c r="BM44" s="665"/>
      <c r="BN44" s="665"/>
      <c r="BO44" s="665"/>
      <c r="BP44" s="665"/>
      <c r="BQ44" s="665"/>
      <c r="BR44" s="665"/>
      <c r="BS44" s="665"/>
      <c r="BT44" s="665"/>
      <c r="BU44" s="665"/>
      <c r="BV44" s="666"/>
      <c r="BW44" s="664"/>
      <c r="BX44" s="665"/>
      <c r="BY44" s="665"/>
      <c r="BZ44" s="665"/>
      <c r="CA44" s="665"/>
      <c r="CB44" s="665"/>
      <c r="CC44" s="665"/>
      <c r="CD44" s="665"/>
      <c r="CE44" s="665"/>
      <c r="CF44" s="665"/>
      <c r="CG44" s="665"/>
      <c r="CH44" s="665"/>
      <c r="CI44" s="665"/>
      <c r="CJ44" s="665"/>
      <c r="CK44" s="665"/>
      <c r="CL44" s="665"/>
      <c r="CM44" s="665"/>
      <c r="CN44" s="665"/>
      <c r="CO44" s="665"/>
      <c r="CP44" s="665"/>
      <c r="CQ44" s="665"/>
      <c r="CR44" s="665"/>
      <c r="CS44" s="665"/>
      <c r="CT44" s="665"/>
      <c r="CU44" s="665"/>
      <c r="CV44" s="665"/>
      <c r="CW44" s="665"/>
      <c r="CX44" s="665"/>
      <c r="CY44" s="665"/>
      <c r="CZ44" s="665"/>
      <c r="DA44" s="665"/>
      <c r="DB44" s="665"/>
      <c r="DC44" s="665"/>
      <c r="DD44" s="665"/>
      <c r="DE44" s="665"/>
      <c r="DF44" s="665"/>
      <c r="DG44" s="666"/>
      <c r="DH44" s="195"/>
      <c r="DI44" s="195"/>
      <c r="DJ44" s="195"/>
      <c r="DK44" s="195"/>
      <c r="DL44" s="222"/>
      <c r="DM44" s="3"/>
      <c r="DN44" s="3"/>
      <c r="DO44" s="102"/>
      <c r="DP44" s="102"/>
      <c r="DQ44" s="102"/>
      <c r="DR44" s="102"/>
      <c r="DS44" s="102"/>
      <c r="DT44" s="102"/>
      <c r="DU44" s="102"/>
      <c r="DV44" s="102"/>
      <c r="DW44" s="105">
        <v>55</v>
      </c>
      <c r="DX44" s="104">
        <v>18</v>
      </c>
      <c r="DY44" s="102">
        <v>46.599999999999952</v>
      </c>
      <c r="DZ44" s="293">
        <v>0.16</v>
      </c>
      <c r="EA44" s="102">
        <v>3.9</v>
      </c>
    </row>
    <row r="45" spans="1:131" ht="18.75" customHeight="1" x14ac:dyDescent="0.15">
      <c r="A45" s="39"/>
      <c r="B45" s="490"/>
      <c r="C45" s="490"/>
      <c r="D45" s="490"/>
      <c r="E45" s="490"/>
      <c r="F45" s="106"/>
      <c r="G45" s="141" t="s">
        <v>278</v>
      </c>
      <c r="H45" s="8"/>
      <c r="I45" s="298" t="s">
        <v>280</v>
      </c>
      <c r="J45" s="142"/>
      <c r="K45" s="106"/>
      <c r="L45" s="8"/>
      <c r="M45" s="8"/>
      <c r="N45" s="8"/>
      <c r="O45" s="203"/>
      <c r="P45" s="621">
        <f>IF(A58=1,ROUND(B45*95,1),0)</f>
        <v>0</v>
      </c>
      <c r="Q45" s="621"/>
      <c r="R45" s="621"/>
      <c r="S45" s="621"/>
      <c r="T45" s="295" t="str">
        <f>IF(A58=1,"m：設計水頭","")</f>
        <v/>
      </c>
      <c r="U45" s="106"/>
      <c r="V45" s="106"/>
      <c r="W45" s="106"/>
      <c r="X45" s="8"/>
      <c r="Y45" s="8"/>
      <c r="Z45" s="247"/>
      <c r="AA45" s="247"/>
      <c r="AB45" s="247"/>
      <c r="AC45" s="247"/>
      <c r="AD45" s="106"/>
      <c r="AE45" s="141"/>
      <c r="AF45" s="141"/>
      <c r="AG45" s="106"/>
      <c r="AH45" s="8"/>
      <c r="AI45" s="8"/>
      <c r="AJ45" s="8"/>
      <c r="AK45" s="16"/>
      <c r="AL45" s="667"/>
      <c r="AM45" s="668"/>
      <c r="AN45" s="668"/>
      <c r="AO45" s="668"/>
      <c r="AP45" s="668"/>
      <c r="AQ45" s="668"/>
      <c r="AR45" s="668"/>
      <c r="AS45" s="668"/>
      <c r="AT45" s="668"/>
      <c r="AU45" s="668"/>
      <c r="AV45" s="668"/>
      <c r="AW45" s="668"/>
      <c r="AX45" s="668"/>
      <c r="AY45" s="668"/>
      <c r="AZ45" s="668"/>
      <c r="BA45" s="668"/>
      <c r="BB45" s="668"/>
      <c r="BC45" s="668"/>
      <c r="BD45" s="668"/>
      <c r="BE45" s="668"/>
      <c r="BF45" s="668"/>
      <c r="BG45" s="668"/>
      <c r="BH45" s="668"/>
      <c r="BI45" s="668"/>
      <c r="BJ45" s="668"/>
      <c r="BK45" s="668"/>
      <c r="BL45" s="668"/>
      <c r="BM45" s="668"/>
      <c r="BN45" s="668"/>
      <c r="BO45" s="668"/>
      <c r="BP45" s="668"/>
      <c r="BQ45" s="668"/>
      <c r="BR45" s="668"/>
      <c r="BS45" s="668"/>
      <c r="BT45" s="668"/>
      <c r="BU45" s="668"/>
      <c r="BV45" s="669"/>
      <c r="BW45" s="667"/>
      <c r="BX45" s="668"/>
      <c r="BY45" s="668"/>
      <c r="BZ45" s="668"/>
      <c r="CA45" s="668"/>
      <c r="CB45" s="668"/>
      <c r="CC45" s="668"/>
      <c r="CD45" s="668"/>
      <c r="CE45" s="668"/>
      <c r="CF45" s="668"/>
      <c r="CG45" s="668"/>
      <c r="CH45" s="668"/>
      <c r="CI45" s="668"/>
      <c r="CJ45" s="668"/>
      <c r="CK45" s="668"/>
      <c r="CL45" s="668"/>
      <c r="CM45" s="668"/>
      <c r="CN45" s="668"/>
      <c r="CO45" s="668"/>
      <c r="CP45" s="668"/>
      <c r="CQ45" s="668"/>
      <c r="CR45" s="668"/>
      <c r="CS45" s="668"/>
      <c r="CT45" s="668"/>
      <c r="CU45" s="668"/>
      <c r="CV45" s="668"/>
      <c r="CW45" s="668"/>
      <c r="CX45" s="668"/>
      <c r="CY45" s="668"/>
      <c r="CZ45" s="668"/>
      <c r="DA45" s="668"/>
      <c r="DB45" s="668"/>
      <c r="DC45" s="668"/>
      <c r="DD45" s="668"/>
      <c r="DE45" s="668"/>
      <c r="DF45" s="668"/>
      <c r="DG45" s="669"/>
      <c r="DH45" s="222"/>
      <c r="DI45" s="222"/>
      <c r="DJ45" s="222"/>
      <c r="DK45" s="222"/>
      <c r="DL45" s="222"/>
      <c r="DM45" s="3"/>
      <c r="DN45" s="3"/>
      <c r="DO45" s="102"/>
      <c r="DP45" s="102"/>
      <c r="DQ45" s="102"/>
      <c r="DR45" s="102"/>
      <c r="DS45" s="102"/>
      <c r="DT45" s="102"/>
      <c r="DU45" s="102"/>
      <c r="DV45" s="102"/>
      <c r="DW45" s="105">
        <v>60</v>
      </c>
      <c r="DX45" s="104">
        <v>18.5</v>
      </c>
      <c r="DY45" s="102">
        <v>46.49999999999995</v>
      </c>
      <c r="DZ45" s="293">
        <v>0.15</v>
      </c>
      <c r="EA45" s="102">
        <v>4</v>
      </c>
    </row>
    <row r="46" spans="1:131" ht="12" customHeight="1" x14ac:dyDescent="0.15">
      <c r="A46" s="4" t="s">
        <v>205</v>
      </c>
      <c r="B46" s="58"/>
      <c r="C46" s="58"/>
      <c r="D46" s="58"/>
      <c r="E46" s="58"/>
      <c r="F46" s="58"/>
      <c r="G46" s="58"/>
      <c r="H46" s="758" t="str">
        <f>IF(A58&lt;&gt;1,"このページは現在計算していません。","")</f>
        <v>このページは現在計算していません。</v>
      </c>
      <c r="I46" s="758"/>
      <c r="J46" s="758"/>
      <c r="K46" s="758"/>
      <c r="L46" s="758"/>
      <c r="M46" s="758"/>
      <c r="N46" s="758"/>
      <c r="O46" s="758"/>
      <c r="P46" s="758"/>
      <c r="Q46" s="758"/>
      <c r="R46" s="758"/>
      <c r="S46" s="758"/>
      <c r="T46" s="758"/>
      <c r="U46" s="758"/>
      <c r="V46" s="758"/>
      <c r="W46" s="758"/>
      <c r="X46" s="758"/>
      <c r="Y46" s="758"/>
      <c r="Z46" s="758"/>
      <c r="AA46" s="758"/>
      <c r="AB46" s="758"/>
      <c r="AC46" s="758"/>
      <c r="AD46" s="758"/>
      <c r="AE46" s="758"/>
      <c r="AF46" s="758"/>
      <c r="AG46" s="758"/>
      <c r="AH46" s="758"/>
      <c r="AI46" s="758"/>
      <c r="AJ46" s="758"/>
      <c r="AK46" s="759"/>
      <c r="AL46" s="4" t="s">
        <v>205</v>
      </c>
      <c r="AM46" s="58"/>
      <c r="AN46" s="58"/>
      <c r="AO46" s="58"/>
      <c r="AP46" s="58"/>
      <c r="AQ46" s="58"/>
      <c r="AR46" s="58"/>
      <c r="AS46" s="758" t="str">
        <f>IF(AL58&lt;&gt;1,"このページは現在計算していません。","")</f>
        <v>このページは現在計算していません。</v>
      </c>
      <c r="AT46" s="758"/>
      <c r="AU46" s="758"/>
      <c r="AV46" s="758"/>
      <c r="AW46" s="758"/>
      <c r="AX46" s="758"/>
      <c r="AY46" s="758"/>
      <c r="AZ46" s="758"/>
      <c r="BA46" s="758"/>
      <c r="BB46" s="758"/>
      <c r="BC46" s="758"/>
      <c r="BD46" s="758"/>
      <c r="BE46" s="758"/>
      <c r="BF46" s="758"/>
      <c r="BG46" s="758"/>
      <c r="BH46" s="758"/>
      <c r="BI46" s="758"/>
      <c r="BJ46" s="758"/>
      <c r="BK46" s="758"/>
      <c r="BL46" s="758"/>
      <c r="BM46" s="758"/>
      <c r="BN46" s="758"/>
      <c r="BO46" s="758"/>
      <c r="BP46" s="758"/>
      <c r="BQ46" s="758"/>
      <c r="BR46" s="758"/>
      <c r="BS46" s="758"/>
      <c r="BT46" s="758"/>
      <c r="BU46" s="758"/>
      <c r="BV46" s="759"/>
      <c r="BW46" s="4" t="s">
        <v>205</v>
      </c>
      <c r="BX46" s="58"/>
      <c r="BY46" s="58"/>
      <c r="BZ46" s="58"/>
      <c r="CA46" s="58"/>
      <c r="CB46" s="58"/>
      <c r="CC46" s="58"/>
      <c r="CD46" s="758" t="str">
        <f>IF(BW58&lt;&gt;1,"このページは現在計算していません。","")</f>
        <v>このページは現在計算していません。</v>
      </c>
      <c r="CE46" s="758"/>
      <c r="CF46" s="758"/>
      <c r="CG46" s="758"/>
      <c r="CH46" s="758"/>
      <c r="CI46" s="758"/>
      <c r="CJ46" s="758"/>
      <c r="CK46" s="758"/>
      <c r="CL46" s="758"/>
      <c r="CM46" s="758"/>
      <c r="CN46" s="758"/>
      <c r="CO46" s="758"/>
      <c r="CP46" s="758"/>
      <c r="CQ46" s="758"/>
      <c r="CR46" s="758"/>
      <c r="CS46" s="758"/>
      <c r="CT46" s="758"/>
      <c r="CU46" s="758"/>
      <c r="CV46" s="758"/>
      <c r="CW46" s="758"/>
      <c r="CX46" s="758"/>
      <c r="CY46" s="758"/>
      <c r="CZ46" s="758"/>
      <c r="DA46" s="758"/>
      <c r="DB46" s="758"/>
      <c r="DC46" s="758"/>
      <c r="DD46" s="758"/>
      <c r="DE46" s="758"/>
      <c r="DF46" s="758"/>
      <c r="DG46" s="759"/>
      <c r="DH46" s="208"/>
      <c r="DI46" s="208"/>
      <c r="DJ46" s="208"/>
      <c r="DK46" s="208"/>
      <c r="DL46" s="222"/>
      <c r="DM46" s="3"/>
      <c r="DN46" s="3"/>
      <c r="DO46" s="106"/>
      <c r="DP46" s="102"/>
      <c r="DQ46" s="102"/>
      <c r="DR46" s="102"/>
      <c r="DS46" s="102"/>
      <c r="DT46" s="106"/>
      <c r="DU46" s="106"/>
      <c r="DV46" s="106"/>
      <c r="DW46" s="105">
        <v>65</v>
      </c>
      <c r="DX46" s="104">
        <v>19</v>
      </c>
      <c r="DY46" s="102">
        <v>46.4</v>
      </c>
      <c r="DZ46" s="293">
        <v>0.14000000000000001</v>
      </c>
      <c r="EA46" s="102">
        <v>4.0999999999999996</v>
      </c>
    </row>
    <row r="47" spans="1:131" ht="12" customHeight="1" x14ac:dyDescent="0.15">
      <c r="A47" s="41"/>
      <c r="B47" s="653" t="s">
        <v>57</v>
      </c>
      <c r="C47" s="653"/>
      <c r="D47" s="653"/>
      <c r="E47" s="653"/>
      <c r="F47" s="42"/>
      <c r="G47" s="42"/>
      <c r="H47" s="653" t="s">
        <v>62</v>
      </c>
      <c r="I47" s="653"/>
      <c r="J47" s="653"/>
      <c r="K47" s="42"/>
      <c r="L47" s="42"/>
      <c r="M47" s="653" t="s">
        <v>61</v>
      </c>
      <c r="N47" s="653"/>
      <c r="O47" s="653"/>
      <c r="P47" s="42"/>
      <c r="Q47" s="42"/>
      <c r="R47" s="653" t="s">
        <v>60</v>
      </c>
      <c r="S47" s="653"/>
      <c r="T47" s="653"/>
      <c r="U47" s="653"/>
      <c r="V47" s="42"/>
      <c r="W47" s="42"/>
      <c r="X47" s="42"/>
      <c r="Y47" s="42"/>
      <c r="Z47" s="42"/>
      <c r="AA47" s="42"/>
      <c r="AB47" s="43"/>
      <c r="AC47" s="43"/>
      <c r="AD47" s="43"/>
      <c r="AE47" s="43"/>
      <c r="AF47" s="43"/>
      <c r="AG47" s="43"/>
      <c r="AH47" s="43"/>
      <c r="AI47" s="43"/>
      <c r="AJ47" s="43"/>
      <c r="AK47" s="44"/>
      <c r="AL47" s="41"/>
      <c r="AM47" s="653" t="s">
        <v>57</v>
      </c>
      <c r="AN47" s="653"/>
      <c r="AO47" s="653"/>
      <c r="AP47" s="653"/>
      <c r="AQ47" s="42"/>
      <c r="AR47" s="42"/>
      <c r="AS47" s="653"/>
      <c r="AT47" s="653"/>
      <c r="AU47" s="653"/>
      <c r="AV47" s="42"/>
      <c r="AW47" s="42"/>
      <c r="AX47" s="653" t="s">
        <v>61</v>
      </c>
      <c r="AY47" s="653"/>
      <c r="AZ47" s="653"/>
      <c r="BA47" s="42"/>
      <c r="BB47" s="42"/>
      <c r="BC47" s="653" t="s">
        <v>60</v>
      </c>
      <c r="BD47" s="653"/>
      <c r="BE47" s="653"/>
      <c r="BF47" s="653"/>
      <c r="BG47" s="42"/>
      <c r="BH47" s="42"/>
      <c r="BI47" s="42"/>
      <c r="BJ47" s="42"/>
      <c r="BK47" s="42"/>
      <c r="BL47" s="42"/>
      <c r="BM47" s="43"/>
      <c r="BN47" s="43"/>
      <c r="BO47" s="43"/>
      <c r="BP47" s="43"/>
      <c r="BQ47" s="43"/>
      <c r="BR47" s="43"/>
      <c r="BS47" s="43"/>
      <c r="BT47" s="43"/>
      <c r="BU47" s="43"/>
      <c r="BV47" s="44"/>
      <c r="BW47" s="41"/>
      <c r="BX47" s="653" t="s">
        <v>57</v>
      </c>
      <c r="BY47" s="653"/>
      <c r="BZ47" s="653"/>
      <c r="CA47" s="653"/>
      <c r="CB47" s="42"/>
      <c r="CC47" s="42"/>
      <c r="CD47" s="654"/>
      <c r="CE47" s="654"/>
      <c r="CF47" s="654"/>
      <c r="CG47" s="42"/>
      <c r="CH47" s="42"/>
      <c r="CI47" s="653" t="s">
        <v>61</v>
      </c>
      <c r="CJ47" s="653"/>
      <c r="CK47" s="653"/>
      <c r="CL47" s="42"/>
      <c r="CM47" s="42"/>
      <c r="CN47" s="653" t="s">
        <v>60</v>
      </c>
      <c r="CO47" s="653"/>
      <c r="CP47" s="653"/>
      <c r="CQ47" s="653"/>
      <c r="CR47" s="42"/>
      <c r="CS47" s="42"/>
      <c r="CT47" s="42"/>
      <c r="CU47" s="42"/>
      <c r="CV47" s="42"/>
      <c r="CW47" s="42"/>
      <c r="CX47" s="43"/>
      <c r="CY47" s="43"/>
      <c r="CZ47" s="43"/>
      <c r="DA47" s="43"/>
      <c r="DB47" s="43"/>
      <c r="DC47" s="43"/>
      <c r="DD47" s="43"/>
      <c r="DE47" s="43"/>
      <c r="DF47" s="43"/>
      <c r="DG47" s="44"/>
      <c r="DH47" s="43"/>
      <c r="DI47" s="43"/>
      <c r="DJ47" s="43"/>
      <c r="DK47" s="43"/>
      <c r="DL47" s="222"/>
      <c r="DM47" s="3"/>
      <c r="DN47" s="3"/>
      <c r="DO47" s="248"/>
      <c r="DP47" s="198"/>
      <c r="DQ47" s="102"/>
      <c r="DR47" s="102"/>
      <c r="DS47" s="198"/>
      <c r="DT47" s="198"/>
      <c r="DU47" s="249"/>
      <c r="DV47" s="208"/>
      <c r="DW47" s="105">
        <v>70</v>
      </c>
      <c r="DX47" s="104">
        <v>19.5</v>
      </c>
      <c r="DY47" s="102">
        <v>46.3</v>
      </c>
      <c r="DZ47" s="293">
        <v>0.13</v>
      </c>
      <c r="EA47" s="102">
        <v>4.2</v>
      </c>
    </row>
    <row r="48" spans="1:131" ht="17.25" customHeight="1" x14ac:dyDescent="0.15">
      <c r="A48" s="24"/>
      <c r="B48" s="631">
        <f>P45</f>
        <v>0</v>
      </c>
      <c r="C48" s="631"/>
      <c r="D48" s="631"/>
      <c r="E48" s="631"/>
      <c r="F48" s="222" t="s">
        <v>144</v>
      </c>
      <c r="G48" s="222"/>
      <c r="H48" s="656"/>
      <c r="I48" s="656"/>
      <c r="J48" s="656"/>
      <c r="K48" s="222" t="s">
        <v>143</v>
      </c>
      <c r="L48" s="222"/>
      <c r="M48" s="656"/>
      <c r="N48" s="656"/>
      <c r="O48" s="656"/>
      <c r="P48" s="222" t="s">
        <v>143</v>
      </c>
      <c r="Q48" s="222"/>
      <c r="R48" s="599">
        <f>G43</f>
        <v>0</v>
      </c>
      <c r="S48" s="599"/>
      <c r="T48" s="599"/>
      <c r="U48" s="599"/>
      <c r="V48" s="222" t="s">
        <v>142</v>
      </c>
      <c r="W48" s="220"/>
      <c r="X48" s="600">
        <f>IF(A58=1,ROUND(B48+H48-M48-R48,1),B48)</f>
        <v>0</v>
      </c>
      <c r="Y48" s="600"/>
      <c r="Z48" s="600"/>
      <c r="AA48" s="600"/>
      <c r="AB48" s="222" t="s">
        <v>101</v>
      </c>
      <c r="AC48" s="106"/>
      <c r="AD48" s="222"/>
      <c r="AE48" s="106"/>
      <c r="AF48" s="222" t="s">
        <v>193</v>
      </c>
      <c r="AG48" s="652">
        <v>10</v>
      </c>
      <c r="AH48" s="652"/>
      <c r="AI48" s="652"/>
      <c r="AJ48" s="222" t="s">
        <v>194</v>
      </c>
      <c r="AK48" s="7"/>
      <c r="AL48" s="24"/>
      <c r="AM48" s="631">
        <f>X48</f>
        <v>0</v>
      </c>
      <c r="AN48" s="631"/>
      <c r="AO48" s="631"/>
      <c r="AP48" s="631"/>
      <c r="AQ48" s="222" t="s">
        <v>30</v>
      </c>
      <c r="AR48" s="222"/>
      <c r="AS48" s="655"/>
      <c r="AT48" s="655"/>
      <c r="AU48" s="655"/>
      <c r="AV48" s="222"/>
      <c r="AW48" s="264" t="s">
        <v>253</v>
      </c>
      <c r="AX48" s="656"/>
      <c r="AY48" s="656"/>
      <c r="AZ48" s="656"/>
      <c r="BA48" s="264" t="s">
        <v>255</v>
      </c>
      <c r="BB48" s="222"/>
      <c r="BC48" s="599">
        <f>AR43</f>
        <v>0</v>
      </c>
      <c r="BD48" s="599"/>
      <c r="BE48" s="599"/>
      <c r="BF48" s="599"/>
      <c r="BG48" s="222" t="s">
        <v>31</v>
      </c>
      <c r="BH48" s="220"/>
      <c r="BI48" s="600">
        <f>IF(BN4&gt;0,ROUND(AM48+AS48-AX48-BC48,1),AM48)</f>
        <v>0</v>
      </c>
      <c r="BJ48" s="600"/>
      <c r="BK48" s="600"/>
      <c r="BL48" s="600"/>
      <c r="BM48" s="222" t="s">
        <v>101</v>
      </c>
      <c r="BN48" s="106"/>
      <c r="BO48" s="222"/>
      <c r="BP48" s="106"/>
      <c r="BQ48" s="222" t="s">
        <v>193</v>
      </c>
      <c r="BR48" s="652">
        <v>10</v>
      </c>
      <c r="BS48" s="652"/>
      <c r="BT48" s="652"/>
      <c r="BU48" s="222" t="s">
        <v>101</v>
      </c>
      <c r="BV48" s="7"/>
      <c r="BW48" s="24"/>
      <c r="BX48" s="631">
        <f>BI48</f>
        <v>0</v>
      </c>
      <c r="BY48" s="631"/>
      <c r="BZ48" s="631"/>
      <c r="CA48" s="631"/>
      <c r="CB48" s="222" t="s">
        <v>30</v>
      </c>
      <c r="CC48" s="222"/>
      <c r="CD48" s="655"/>
      <c r="CE48" s="655"/>
      <c r="CF48" s="655"/>
      <c r="CG48" s="264" t="s">
        <v>254</v>
      </c>
      <c r="CH48" s="222"/>
      <c r="CI48" s="656"/>
      <c r="CJ48" s="656"/>
      <c r="CK48" s="656"/>
      <c r="CL48" s="264" t="s">
        <v>255</v>
      </c>
      <c r="CM48" s="222"/>
      <c r="CN48" s="657">
        <f>CC43</f>
        <v>0</v>
      </c>
      <c r="CO48" s="657"/>
      <c r="CP48" s="657"/>
      <c r="CQ48" s="657"/>
      <c r="CR48" s="222" t="s">
        <v>31</v>
      </c>
      <c r="CS48" s="220"/>
      <c r="CT48" s="600">
        <f>IF(CY4&gt;0,ROUND(BX48+CD48-CI48-CN48,1),BX48)</f>
        <v>0</v>
      </c>
      <c r="CU48" s="600"/>
      <c r="CV48" s="600"/>
      <c r="CW48" s="600"/>
      <c r="CX48" s="222" t="s">
        <v>101</v>
      </c>
      <c r="CY48" s="106"/>
      <c r="CZ48" s="222"/>
      <c r="DA48" s="106"/>
      <c r="DB48" s="222" t="s">
        <v>193</v>
      </c>
      <c r="DC48" s="652">
        <v>10</v>
      </c>
      <c r="DD48" s="652"/>
      <c r="DE48" s="652"/>
      <c r="DF48" s="222" t="s">
        <v>101</v>
      </c>
      <c r="DG48" s="7"/>
      <c r="DH48" s="222"/>
      <c r="DI48" s="222"/>
      <c r="DJ48" s="222"/>
      <c r="DK48" s="222"/>
      <c r="DL48" s="222"/>
      <c r="DM48" s="3"/>
      <c r="DN48" s="3"/>
      <c r="DO48" s="248"/>
      <c r="DP48" s="198"/>
      <c r="DQ48" s="102"/>
      <c r="DR48" s="102"/>
      <c r="DS48" s="102"/>
      <c r="DT48" s="102"/>
      <c r="DU48" s="102"/>
      <c r="DV48" s="208"/>
      <c r="DW48" s="105">
        <v>75</v>
      </c>
      <c r="DX48" s="104">
        <v>20</v>
      </c>
      <c r="DY48" s="102">
        <v>46.2</v>
      </c>
      <c r="DZ48" s="293">
        <v>0.12</v>
      </c>
      <c r="EA48" s="102">
        <v>4.3</v>
      </c>
    </row>
    <row r="49" spans="1:131" ht="3.75" customHeight="1" x14ac:dyDescent="0.15">
      <c r="A49" s="24"/>
      <c r="B49" s="161"/>
      <c r="C49" s="161"/>
      <c r="D49" s="161"/>
      <c r="E49" s="161"/>
      <c r="F49" s="69"/>
      <c r="G49" s="69"/>
      <c r="H49" s="197"/>
      <c r="I49" s="197"/>
      <c r="J49" s="197"/>
      <c r="K49" s="69"/>
      <c r="L49" s="69"/>
      <c r="M49" s="197"/>
      <c r="N49" s="197"/>
      <c r="O49" s="197"/>
      <c r="P49" s="69"/>
      <c r="Q49" s="222"/>
      <c r="R49" s="162"/>
      <c r="S49" s="162"/>
      <c r="T49" s="162"/>
      <c r="U49" s="162"/>
      <c r="V49" s="222"/>
      <c r="W49" s="220"/>
      <c r="X49" s="220"/>
      <c r="Y49" s="220"/>
      <c r="Z49" s="220"/>
      <c r="AA49" s="220"/>
      <c r="AB49" s="222"/>
      <c r="AC49" s="222"/>
      <c r="AD49" s="222"/>
      <c r="AE49" s="220"/>
      <c r="AF49" s="220"/>
      <c r="AG49" s="220"/>
      <c r="AH49" s="222"/>
      <c r="AI49" s="222"/>
      <c r="AJ49" s="222"/>
      <c r="AK49" s="7"/>
      <c r="AL49" s="24"/>
      <c r="AM49" s="161"/>
      <c r="AN49" s="161"/>
      <c r="AO49" s="161"/>
      <c r="AP49" s="161"/>
      <c r="AQ49" s="69"/>
      <c r="AR49" s="69"/>
      <c r="AS49" s="197"/>
      <c r="AT49" s="197"/>
      <c r="AU49" s="197"/>
      <c r="AV49" s="69"/>
      <c r="AW49" s="69"/>
      <c r="AX49" s="197"/>
      <c r="AY49" s="197"/>
      <c r="AZ49" s="197"/>
      <c r="BA49" s="69"/>
      <c r="BB49" s="222"/>
      <c r="BC49" s="162"/>
      <c r="BD49" s="162"/>
      <c r="BE49" s="162"/>
      <c r="BF49" s="162"/>
      <c r="BG49" s="222"/>
      <c r="BH49" s="220"/>
      <c r="BI49" s="220"/>
      <c r="BJ49" s="220"/>
      <c r="BK49" s="220"/>
      <c r="BL49" s="220"/>
      <c r="BM49" s="222"/>
      <c r="BN49" s="222"/>
      <c r="BO49" s="222"/>
      <c r="BP49" s="220"/>
      <c r="BQ49" s="220"/>
      <c r="BR49" s="220"/>
      <c r="BS49" s="222"/>
      <c r="BT49" s="222"/>
      <c r="BU49" s="222"/>
      <c r="BV49" s="7"/>
      <c r="BW49" s="24"/>
      <c r="BX49" s="161"/>
      <c r="BY49" s="161"/>
      <c r="BZ49" s="161"/>
      <c r="CA49" s="161"/>
      <c r="CB49" s="69"/>
      <c r="CC49" s="69"/>
      <c r="CD49" s="197"/>
      <c r="CE49" s="197"/>
      <c r="CF49" s="197"/>
      <c r="CG49" s="69"/>
      <c r="CH49" s="69"/>
      <c r="CI49" s="197"/>
      <c r="CJ49" s="197"/>
      <c r="CK49" s="197"/>
      <c r="CL49" s="69"/>
      <c r="CM49" s="222"/>
      <c r="CN49" s="162"/>
      <c r="CO49" s="162"/>
      <c r="CP49" s="162"/>
      <c r="CQ49" s="162"/>
      <c r="CR49" s="222"/>
      <c r="CS49" s="220"/>
      <c r="CT49" s="220"/>
      <c r="CU49" s="220"/>
      <c r="CV49" s="220"/>
      <c r="CW49" s="220"/>
      <c r="CX49" s="222"/>
      <c r="CY49" s="222"/>
      <c r="CZ49" s="222"/>
      <c r="DA49" s="220"/>
      <c r="DB49" s="220"/>
      <c r="DC49" s="220"/>
      <c r="DD49" s="222"/>
      <c r="DE49" s="222"/>
      <c r="DF49" s="222"/>
      <c r="DG49" s="7"/>
      <c r="DH49" s="222"/>
      <c r="DI49" s="222"/>
      <c r="DJ49" s="222"/>
      <c r="DK49" s="222"/>
      <c r="DL49" s="222"/>
      <c r="DM49" s="3"/>
      <c r="DN49" s="3"/>
      <c r="DO49" s="248"/>
      <c r="DP49" s="198"/>
      <c r="DQ49" s="198"/>
      <c r="DR49" s="198"/>
      <c r="DS49" s="198"/>
      <c r="DT49" s="198"/>
      <c r="DU49" s="198"/>
      <c r="DV49" s="208"/>
      <c r="DW49" s="105">
        <v>80</v>
      </c>
      <c r="DX49" s="104">
        <v>20.5</v>
      </c>
      <c r="DY49" s="102">
        <v>46.1</v>
      </c>
      <c r="DZ49" s="293">
        <v>0.11</v>
      </c>
      <c r="EA49" s="102">
        <v>4.4000000000000004</v>
      </c>
    </row>
    <row r="50" spans="1:131" ht="9.75" customHeight="1" x14ac:dyDescent="0.15">
      <c r="A50" s="625"/>
      <c r="B50" s="626"/>
      <c r="C50" s="626"/>
      <c r="D50" s="626"/>
      <c r="E50" s="626"/>
      <c r="F50" s="626"/>
      <c r="G50" s="626"/>
      <c r="H50" s="626"/>
      <c r="I50" s="626"/>
      <c r="J50" s="626"/>
      <c r="K50" s="626"/>
      <c r="L50" s="626"/>
      <c r="M50" s="626"/>
      <c r="N50" s="626"/>
      <c r="O50" s="626"/>
      <c r="P50" s="626"/>
      <c r="Q50" s="626"/>
      <c r="R50" s="626"/>
      <c r="S50" s="626"/>
      <c r="T50" s="626"/>
      <c r="U50" s="626"/>
      <c r="V50" s="626"/>
      <c r="W50" s="626"/>
      <c r="X50" s="626"/>
      <c r="Y50" s="626"/>
      <c r="Z50" s="626"/>
      <c r="AA50" s="626"/>
      <c r="AB50" s="626"/>
      <c r="AC50" s="626"/>
      <c r="AD50" s="626"/>
      <c r="AE50" s="626"/>
      <c r="AF50" s="626"/>
      <c r="AG50" s="626"/>
      <c r="AH50" s="626"/>
      <c r="AI50" s="626"/>
      <c r="AJ50" s="626"/>
      <c r="AK50" s="627"/>
      <c r="AL50" s="625"/>
      <c r="AM50" s="626"/>
      <c r="AN50" s="626"/>
      <c r="AO50" s="626"/>
      <c r="AP50" s="626"/>
      <c r="AQ50" s="626"/>
      <c r="AR50" s="626"/>
      <c r="AS50" s="626"/>
      <c r="AT50" s="626"/>
      <c r="AU50" s="626"/>
      <c r="AV50" s="626"/>
      <c r="AW50" s="626"/>
      <c r="AX50" s="626"/>
      <c r="AY50" s="626"/>
      <c r="AZ50" s="626"/>
      <c r="BA50" s="626"/>
      <c r="BB50" s="626"/>
      <c r="BC50" s="626"/>
      <c r="BD50" s="626"/>
      <c r="BE50" s="626"/>
      <c r="BF50" s="626"/>
      <c r="BG50" s="626"/>
      <c r="BH50" s="626"/>
      <c r="BI50" s="626"/>
      <c r="BJ50" s="626"/>
      <c r="BK50" s="626"/>
      <c r="BL50" s="626"/>
      <c r="BM50" s="626"/>
      <c r="BN50" s="626"/>
      <c r="BO50" s="626"/>
      <c r="BP50" s="626"/>
      <c r="BQ50" s="626"/>
      <c r="BR50" s="626"/>
      <c r="BS50" s="626"/>
      <c r="BT50" s="626"/>
      <c r="BU50" s="626"/>
      <c r="BV50" s="627"/>
      <c r="BW50" s="625"/>
      <c r="BX50" s="626"/>
      <c r="BY50" s="626"/>
      <c r="BZ50" s="626"/>
      <c r="CA50" s="626"/>
      <c r="CB50" s="626"/>
      <c r="CC50" s="626"/>
      <c r="CD50" s="626"/>
      <c r="CE50" s="626"/>
      <c r="CF50" s="626"/>
      <c r="CG50" s="626"/>
      <c r="CH50" s="626"/>
      <c r="CI50" s="626"/>
      <c r="CJ50" s="626"/>
      <c r="CK50" s="626"/>
      <c r="CL50" s="626"/>
      <c r="CM50" s="626"/>
      <c r="CN50" s="626"/>
      <c r="CO50" s="626"/>
      <c r="CP50" s="626"/>
      <c r="CQ50" s="626"/>
      <c r="CR50" s="626"/>
      <c r="CS50" s="626"/>
      <c r="CT50" s="626"/>
      <c r="CU50" s="626"/>
      <c r="CV50" s="626"/>
      <c r="CW50" s="626"/>
      <c r="CX50" s="626"/>
      <c r="CY50" s="626"/>
      <c r="CZ50" s="626"/>
      <c r="DA50" s="626"/>
      <c r="DB50" s="626"/>
      <c r="DC50" s="626"/>
      <c r="DD50" s="626"/>
      <c r="DE50" s="626"/>
      <c r="DF50" s="626"/>
      <c r="DG50" s="627"/>
      <c r="DH50" s="219"/>
      <c r="DI50" s="219"/>
      <c r="DJ50" s="219"/>
      <c r="DK50" s="219"/>
      <c r="DL50" s="222"/>
      <c r="DM50" s="3"/>
      <c r="DN50" s="3"/>
      <c r="DO50" s="102"/>
      <c r="DP50" s="102"/>
      <c r="DQ50" s="102"/>
      <c r="DR50" s="102"/>
      <c r="DS50" s="198"/>
      <c r="DT50" s="198"/>
      <c r="DU50" s="198"/>
      <c r="DV50" s="208"/>
      <c r="DW50" s="105">
        <v>85</v>
      </c>
      <c r="DX50" s="104">
        <v>21</v>
      </c>
      <c r="DY50" s="102">
        <v>46</v>
      </c>
      <c r="DZ50" s="293">
        <v>0.1</v>
      </c>
      <c r="EA50" s="102">
        <v>4.5</v>
      </c>
    </row>
    <row r="51" spans="1:131" ht="8.25" customHeight="1" x14ac:dyDescent="0.15">
      <c r="A51" s="628"/>
      <c r="B51" s="629"/>
      <c r="C51" s="629"/>
      <c r="D51" s="629"/>
      <c r="E51" s="629"/>
      <c r="F51" s="629"/>
      <c r="G51" s="629"/>
      <c r="H51" s="629"/>
      <c r="I51" s="629"/>
      <c r="J51" s="629"/>
      <c r="K51" s="629"/>
      <c r="L51" s="629"/>
      <c r="M51" s="629"/>
      <c r="N51" s="629"/>
      <c r="O51" s="629"/>
      <c r="P51" s="629"/>
      <c r="Q51" s="629"/>
      <c r="R51" s="629"/>
      <c r="S51" s="629"/>
      <c r="T51" s="629"/>
      <c r="U51" s="629"/>
      <c r="V51" s="629"/>
      <c r="W51" s="629"/>
      <c r="X51" s="629"/>
      <c r="Y51" s="629"/>
      <c r="Z51" s="629"/>
      <c r="AA51" s="629"/>
      <c r="AB51" s="629"/>
      <c r="AC51" s="629"/>
      <c r="AD51" s="629"/>
      <c r="AE51" s="629"/>
      <c r="AF51" s="629"/>
      <c r="AG51" s="629"/>
      <c r="AH51" s="629"/>
      <c r="AI51" s="629"/>
      <c r="AJ51" s="629"/>
      <c r="AK51" s="630"/>
      <c r="AL51" s="628"/>
      <c r="AM51" s="629"/>
      <c r="AN51" s="629"/>
      <c r="AO51" s="629"/>
      <c r="AP51" s="629"/>
      <c r="AQ51" s="629"/>
      <c r="AR51" s="629"/>
      <c r="AS51" s="629"/>
      <c r="AT51" s="629"/>
      <c r="AU51" s="629"/>
      <c r="AV51" s="629"/>
      <c r="AW51" s="629"/>
      <c r="AX51" s="629"/>
      <c r="AY51" s="629"/>
      <c r="AZ51" s="629"/>
      <c r="BA51" s="629"/>
      <c r="BB51" s="629"/>
      <c r="BC51" s="629"/>
      <c r="BD51" s="629"/>
      <c r="BE51" s="629"/>
      <c r="BF51" s="629"/>
      <c r="BG51" s="629"/>
      <c r="BH51" s="629"/>
      <c r="BI51" s="629"/>
      <c r="BJ51" s="629"/>
      <c r="BK51" s="629"/>
      <c r="BL51" s="629"/>
      <c r="BM51" s="629"/>
      <c r="BN51" s="629"/>
      <c r="BO51" s="629"/>
      <c r="BP51" s="629"/>
      <c r="BQ51" s="629"/>
      <c r="BR51" s="629"/>
      <c r="BS51" s="629"/>
      <c r="BT51" s="629"/>
      <c r="BU51" s="629"/>
      <c r="BV51" s="630"/>
      <c r="BW51" s="628"/>
      <c r="BX51" s="629"/>
      <c r="BY51" s="629"/>
      <c r="BZ51" s="629"/>
      <c r="CA51" s="629"/>
      <c r="CB51" s="629"/>
      <c r="CC51" s="629"/>
      <c r="CD51" s="629"/>
      <c r="CE51" s="629"/>
      <c r="CF51" s="629"/>
      <c r="CG51" s="629"/>
      <c r="CH51" s="629"/>
      <c r="CI51" s="629"/>
      <c r="CJ51" s="629"/>
      <c r="CK51" s="629"/>
      <c r="CL51" s="629"/>
      <c r="CM51" s="629"/>
      <c r="CN51" s="629"/>
      <c r="CO51" s="629"/>
      <c r="CP51" s="629"/>
      <c r="CQ51" s="629"/>
      <c r="CR51" s="629"/>
      <c r="CS51" s="629"/>
      <c r="CT51" s="629"/>
      <c r="CU51" s="629"/>
      <c r="CV51" s="629"/>
      <c r="CW51" s="629"/>
      <c r="CX51" s="629"/>
      <c r="CY51" s="629"/>
      <c r="CZ51" s="629"/>
      <c r="DA51" s="629"/>
      <c r="DB51" s="629"/>
      <c r="DC51" s="629"/>
      <c r="DD51" s="629"/>
      <c r="DE51" s="629"/>
      <c r="DF51" s="629"/>
      <c r="DG51" s="630"/>
      <c r="DH51" s="219"/>
      <c r="DI51" s="219"/>
      <c r="DJ51" s="219"/>
      <c r="DK51" s="219"/>
      <c r="DL51" s="222"/>
      <c r="DM51" s="3"/>
      <c r="DN51" s="3"/>
      <c r="DO51" s="248"/>
      <c r="DP51" s="102"/>
      <c r="DQ51" s="102"/>
      <c r="DR51" s="102"/>
      <c r="DS51" s="102"/>
      <c r="DT51" s="102"/>
      <c r="DU51" s="198"/>
      <c r="DV51" s="208"/>
      <c r="DW51" s="105">
        <v>90</v>
      </c>
      <c r="DX51" s="104">
        <v>21.5</v>
      </c>
      <c r="DY51" s="102">
        <v>45.9</v>
      </c>
      <c r="DZ51" s="293">
        <v>0.09</v>
      </c>
      <c r="EA51" s="102">
        <v>4.5999999999999996</v>
      </c>
    </row>
    <row r="52" spans="1:131" ht="14.25" customHeight="1" x14ac:dyDescent="0.15">
      <c r="A52" s="628"/>
      <c r="B52" s="629"/>
      <c r="C52" s="629"/>
      <c r="D52" s="629"/>
      <c r="E52" s="629"/>
      <c r="F52" s="629"/>
      <c r="G52" s="629"/>
      <c r="H52" s="629"/>
      <c r="I52" s="629"/>
      <c r="J52" s="629"/>
      <c r="K52" s="629"/>
      <c r="L52" s="629"/>
      <c r="M52" s="629"/>
      <c r="N52" s="629"/>
      <c r="O52" s="629"/>
      <c r="P52" s="629"/>
      <c r="Q52" s="629"/>
      <c r="R52" s="629"/>
      <c r="S52" s="629"/>
      <c r="T52" s="629"/>
      <c r="U52" s="629"/>
      <c r="V52" s="629"/>
      <c r="W52" s="629"/>
      <c r="X52" s="629"/>
      <c r="Y52" s="629"/>
      <c r="Z52" s="629"/>
      <c r="AA52" s="629"/>
      <c r="AB52" s="629"/>
      <c r="AC52" s="629"/>
      <c r="AD52" s="629"/>
      <c r="AE52" s="629"/>
      <c r="AF52" s="629"/>
      <c r="AG52" s="629"/>
      <c r="AH52" s="629"/>
      <c r="AI52" s="629"/>
      <c r="AJ52" s="629"/>
      <c r="AK52" s="630"/>
      <c r="AL52" s="628"/>
      <c r="AM52" s="629"/>
      <c r="AN52" s="629"/>
      <c r="AO52" s="629"/>
      <c r="AP52" s="629"/>
      <c r="AQ52" s="629"/>
      <c r="AR52" s="629"/>
      <c r="AS52" s="629"/>
      <c r="AT52" s="629"/>
      <c r="AU52" s="629"/>
      <c r="AV52" s="629"/>
      <c r="AW52" s="629"/>
      <c r="AX52" s="629"/>
      <c r="AY52" s="629"/>
      <c r="AZ52" s="629"/>
      <c r="BA52" s="629"/>
      <c r="BB52" s="629"/>
      <c r="BC52" s="629"/>
      <c r="BD52" s="629"/>
      <c r="BE52" s="629"/>
      <c r="BF52" s="629"/>
      <c r="BG52" s="629"/>
      <c r="BH52" s="629"/>
      <c r="BI52" s="629"/>
      <c r="BJ52" s="629"/>
      <c r="BK52" s="629"/>
      <c r="BL52" s="629"/>
      <c r="BM52" s="629"/>
      <c r="BN52" s="629"/>
      <c r="BO52" s="629"/>
      <c r="BP52" s="629"/>
      <c r="BQ52" s="629"/>
      <c r="BR52" s="629"/>
      <c r="BS52" s="629"/>
      <c r="BT52" s="629"/>
      <c r="BU52" s="629"/>
      <c r="BV52" s="630"/>
      <c r="BW52" s="628"/>
      <c r="BX52" s="629"/>
      <c r="BY52" s="629"/>
      <c r="BZ52" s="629"/>
      <c r="CA52" s="629"/>
      <c r="CB52" s="629"/>
      <c r="CC52" s="629"/>
      <c r="CD52" s="629"/>
      <c r="CE52" s="629"/>
      <c r="CF52" s="629"/>
      <c r="CG52" s="629"/>
      <c r="CH52" s="629"/>
      <c r="CI52" s="629"/>
      <c r="CJ52" s="629"/>
      <c r="CK52" s="629"/>
      <c r="CL52" s="629"/>
      <c r="CM52" s="629"/>
      <c r="CN52" s="629"/>
      <c r="CO52" s="629"/>
      <c r="CP52" s="629"/>
      <c r="CQ52" s="629"/>
      <c r="CR52" s="629"/>
      <c r="CS52" s="629"/>
      <c r="CT52" s="629"/>
      <c r="CU52" s="629"/>
      <c r="CV52" s="629"/>
      <c r="CW52" s="629"/>
      <c r="CX52" s="629"/>
      <c r="CY52" s="629"/>
      <c r="CZ52" s="629"/>
      <c r="DA52" s="629"/>
      <c r="DB52" s="629"/>
      <c r="DC52" s="629"/>
      <c r="DD52" s="629"/>
      <c r="DE52" s="629"/>
      <c r="DF52" s="629"/>
      <c r="DG52" s="630"/>
      <c r="DH52" s="219"/>
      <c r="DI52" s="219"/>
      <c r="DJ52" s="219"/>
      <c r="DK52" s="219"/>
      <c r="DL52" s="222"/>
      <c r="DM52" s="3"/>
      <c r="DN52" s="3"/>
      <c r="DO52" s="102"/>
      <c r="DP52" s="102"/>
      <c r="DQ52" s="102"/>
      <c r="DR52" s="102"/>
      <c r="DS52" s="106"/>
      <c r="DT52" s="106"/>
      <c r="DU52" s="106"/>
      <c r="DV52" s="106"/>
      <c r="DW52" s="105">
        <v>95</v>
      </c>
      <c r="DX52" s="104">
        <v>22</v>
      </c>
      <c r="DY52" s="102">
        <v>45.8</v>
      </c>
      <c r="DZ52" s="293">
        <v>0.08</v>
      </c>
      <c r="EA52" s="102">
        <v>4.7</v>
      </c>
    </row>
    <row r="53" spans="1:131" ht="9" customHeight="1" x14ac:dyDescent="0.15">
      <c r="A53" s="628"/>
      <c r="B53" s="629"/>
      <c r="C53" s="629"/>
      <c r="D53" s="629"/>
      <c r="E53" s="629"/>
      <c r="F53" s="629"/>
      <c r="G53" s="629"/>
      <c r="H53" s="629"/>
      <c r="I53" s="629"/>
      <c r="J53" s="629"/>
      <c r="K53" s="629"/>
      <c r="L53" s="629"/>
      <c r="M53" s="629"/>
      <c r="N53" s="629"/>
      <c r="O53" s="629"/>
      <c r="P53" s="629"/>
      <c r="Q53" s="629"/>
      <c r="R53" s="629"/>
      <c r="S53" s="629"/>
      <c r="T53" s="629"/>
      <c r="U53" s="629"/>
      <c r="V53" s="629"/>
      <c r="W53" s="629"/>
      <c r="X53" s="629"/>
      <c r="Y53" s="629"/>
      <c r="Z53" s="629"/>
      <c r="AA53" s="629"/>
      <c r="AB53" s="629"/>
      <c r="AC53" s="629"/>
      <c r="AD53" s="629"/>
      <c r="AE53" s="629"/>
      <c r="AF53" s="629"/>
      <c r="AG53" s="629"/>
      <c r="AH53" s="629"/>
      <c r="AI53" s="629"/>
      <c r="AJ53" s="629"/>
      <c r="AK53" s="630"/>
      <c r="AL53" s="628"/>
      <c r="AM53" s="629"/>
      <c r="AN53" s="629"/>
      <c r="AO53" s="629"/>
      <c r="AP53" s="629"/>
      <c r="AQ53" s="629"/>
      <c r="AR53" s="629"/>
      <c r="AS53" s="629"/>
      <c r="AT53" s="629"/>
      <c r="AU53" s="629"/>
      <c r="AV53" s="629"/>
      <c r="AW53" s="629"/>
      <c r="AX53" s="629"/>
      <c r="AY53" s="629"/>
      <c r="AZ53" s="629"/>
      <c r="BA53" s="629"/>
      <c r="BB53" s="629"/>
      <c r="BC53" s="629"/>
      <c r="BD53" s="629"/>
      <c r="BE53" s="629"/>
      <c r="BF53" s="629"/>
      <c r="BG53" s="629"/>
      <c r="BH53" s="629"/>
      <c r="BI53" s="629"/>
      <c r="BJ53" s="629"/>
      <c r="BK53" s="629"/>
      <c r="BL53" s="629"/>
      <c r="BM53" s="629"/>
      <c r="BN53" s="629"/>
      <c r="BO53" s="629"/>
      <c r="BP53" s="629"/>
      <c r="BQ53" s="629"/>
      <c r="BR53" s="629"/>
      <c r="BS53" s="629"/>
      <c r="BT53" s="629"/>
      <c r="BU53" s="629"/>
      <c r="BV53" s="630"/>
      <c r="BW53" s="628"/>
      <c r="BX53" s="629"/>
      <c r="BY53" s="629"/>
      <c r="BZ53" s="629"/>
      <c r="CA53" s="629"/>
      <c r="CB53" s="629"/>
      <c r="CC53" s="629"/>
      <c r="CD53" s="629"/>
      <c r="CE53" s="629"/>
      <c r="CF53" s="629"/>
      <c r="CG53" s="629"/>
      <c r="CH53" s="629"/>
      <c r="CI53" s="629"/>
      <c r="CJ53" s="629"/>
      <c r="CK53" s="629"/>
      <c r="CL53" s="629"/>
      <c r="CM53" s="629"/>
      <c r="CN53" s="629"/>
      <c r="CO53" s="629"/>
      <c r="CP53" s="629"/>
      <c r="CQ53" s="629"/>
      <c r="CR53" s="629"/>
      <c r="CS53" s="629"/>
      <c r="CT53" s="629"/>
      <c r="CU53" s="629"/>
      <c r="CV53" s="629"/>
      <c r="CW53" s="629"/>
      <c r="CX53" s="629"/>
      <c r="CY53" s="629"/>
      <c r="CZ53" s="629"/>
      <c r="DA53" s="629"/>
      <c r="DB53" s="629"/>
      <c r="DC53" s="629"/>
      <c r="DD53" s="629"/>
      <c r="DE53" s="629"/>
      <c r="DF53" s="629"/>
      <c r="DG53" s="630"/>
      <c r="DH53" s="219"/>
      <c r="DI53" s="219"/>
      <c r="DJ53" s="219"/>
      <c r="DK53" s="219"/>
      <c r="DL53" s="222"/>
      <c r="DM53" s="3"/>
      <c r="DN53" s="3"/>
      <c r="DO53" s="102"/>
      <c r="DP53" s="102"/>
      <c r="DQ53" s="102"/>
      <c r="DR53" s="222"/>
      <c r="DS53" s="222"/>
      <c r="DT53" s="222"/>
      <c r="DU53" s="222"/>
      <c r="DV53" s="222"/>
      <c r="DW53" s="105">
        <v>100</v>
      </c>
      <c r="DX53" s="104">
        <v>22.5</v>
      </c>
      <c r="DY53" s="102">
        <v>45.7</v>
      </c>
      <c r="DZ53" s="293">
        <v>7.0000000000000007E-2</v>
      </c>
      <c r="EA53" s="102">
        <v>4.8</v>
      </c>
    </row>
    <row r="54" spans="1:131" ht="15" customHeight="1" x14ac:dyDescent="0.15">
      <c r="A54" s="136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210"/>
      <c r="P54" s="210"/>
      <c r="Q54" s="210"/>
      <c r="R54" s="210"/>
      <c r="S54" s="210"/>
      <c r="T54" s="106"/>
      <c r="U54" s="208"/>
      <c r="V54" s="198"/>
      <c r="W54" s="608"/>
      <c r="X54" s="608"/>
      <c r="Y54" s="356" t="s">
        <v>96</v>
      </c>
      <c r="Z54" s="356"/>
      <c r="AA54" s="608"/>
      <c r="AB54" s="608"/>
      <c r="AC54" s="356" t="s">
        <v>97</v>
      </c>
      <c r="AD54" s="356"/>
      <c r="AE54" s="608"/>
      <c r="AF54" s="608"/>
      <c r="AG54" s="356" t="s">
        <v>197</v>
      </c>
      <c r="AH54" s="356"/>
      <c r="AI54" s="210"/>
      <c r="AJ54" s="210"/>
      <c r="AK54" s="131"/>
      <c r="AL54" s="136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210"/>
      <c r="BA54" s="210"/>
      <c r="BB54" s="210"/>
      <c r="BC54" s="210"/>
      <c r="BD54" s="210"/>
      <c r="BE54" s="106"/>
      <c r="BF54" s="208"/>
      <c r="BG54" s="198"/>
      <c r="BH54" s="608"/>
      <c r="BI54" s="608"/>
      <c r="BJ54" s="356" t="s">
        <v>96</v>
      </c>
      <c r="BK54" s="356"/>
      <c r="BL54" s="608"/>
      <c r="BM54" s="608"/>
      <c r="BN54" s="356" t="s">
        <v>97</v>
      </c>
      <c r="BO54" s="356"/>
      <c r="BP54" s="608"/>
      <c r="BQ54" s="608"/>
      <c r="BR54" s="356" t="s">
        <v>98</v>
      </c>
      <c r="BS54" s="356"/>
      <c r="BT54" s="210"/>
      <c r="BU54" s="210"/>
      <c r="BV54" s="131"/>
      <c r="BW54" s="136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210"/>
      <c r="CL54" s="210"/>
      <c r="CM54" s="210"/>
      <c r="CN54" s="210"/>
      <c r="CO54" s="210"/>
      <c r="CP54" s="106"/>
      <c r="CQ54" s="208"/>
      <c r="CR54" s="198"/>
      <c r="CS54" s="608"/>
      <c r="CT54" s="608"/>
      <c r="CU54" s="356" t="s">
        <v>96</v>
      </c>
      <c r="CV54" s="356"/>
      <c r="CW54" s="608"/>
      <c r="CX54" s="608"/>
      <c r="CY54" s="356" t="s">
        <v>97</v>
      </c>
      <c r="CZ54" s="356"/>
      <c r="DA54" s="608"/>
      <c r="DB54" s="608"/>
      <c r="DC54" s="356" t="s">
        <v>98</v>
      </c>
      <c r="DD54" s="356"/>
      <c r="DE54" s="210"/>
      <c r="DF54" s="210"/>
      <c r="DG54" s="131"/>
      <c r="DH54" s="130"/>
      <c r="DI54" s="130"/>
      <c r="DJ54" s="130"/>
      <c r="DK54" s="130"/>
      <c r="DL54" s="222"/>
      <c r="DM54" s="3"/>
      <c r="DN54" s="3"/>
      <c r="DO54" s="102"/>
      <c r="DP54" s="222"/>
      <c r="DQ54" s="222"/>
      <c r="DR54" s="222"/>
      <c r="DS54" s="178"/>
      <c r="DT54" s="222"/>
      <c r="DU54" s="222"/>
      <c r="DV54" s="222"/>
      <c r="DW54" s="105">
        <v>110</v>
      </c>
      <c r="DX54" s="104">
        <v>23</v>
      </c>
      <c r="DY54" s="102">
        <v>45.6</v>
      </c>
      <c r="DZ54" s="293">
        <v>0.06</v>
      </c>
      <c r="EA54" s="102">
        <v>4.9000000000000004</v>
      </c>
    </row>
    <row r="55" spans="1:131" ht="16.5" customHeight="1" x14ac:dyDescent="0.15">
      <c r="A55" s="136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98" t="s">
        <v>198</v>
      </c>
      <c r="O55" s="210"/>
      <c r="P55" s="106"/>
      <c r="Q55" s="198"/>
      <c r="R55" s="198" t="s">
        <v>199</v>
      </c>
      <c r="S55" s="198"/>
      <c r="T55" s="649"/>
      <c r="U55" s="649"/>
      <c r="V55" s="649"/>
      <c r="W55" s="649"/>
      <c r="X55" s="649"/>
      <c r="Y55" s="649"/>
      <c r="Z55" s="649"/>
      <c r="AA55" s="649"/>
      <c r="AB55" s="649"/>
      <c r="AC55" s="649"/>
      <c r="AD55" s="649"/>
      <c r="AE55" s="649"/>
      <c r="AF55" s="649"/>
      <c r="AG55" s="649"/>
      <c r="AH55" s="649"/>
      <c r="AI55" s="649"/>
      <c r="AJ55" s="649"/>
      <c r="AK55" s="131"/>
      <c r="AL55" s="136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98" t="s">
        <v>198</v>
      </c>
      <c r="AZ55" s="210"/>
      <c r="BA55" s="106"/>
      <c r="BB55" s="198"/>
      <c r="BC55" s="198" t="s">
        <v>199</v>
      </c>
      <c r="BD55" s="198"/>
      <c r="BE55" s="649"/>
      <c r="BF55" s="649"/>
      <c r="BG55" s="649"/>
      <c r="BH55" s="649"/>
      <c r="BI55" s="649"/>
      <c r="BJ55" s="649"/>
      <c r="BK55" s="649"/>
      <c r="BL55" s="649"/>
      <c r="BM55" s="649"/>
      <c r="BN55" s="649"/>
      <c r="BO55" s="649"/>
      <c r="BP55" s="649"/>
      <c r="BQ55" s="649"/>
      <c r="BR55" s="649"/>
      <c r="BS55" s="649"/>
      <c r="BT55" s="649"/>
      <c r="BU55" s="649"/>
      <c r="BV55" s="131"/>
      <c r="BW55" s="136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98" t="s">
        <v>198</v>
      </c>
      <c r="CK55" s="210"/>
      <c r="CL55" s="106"/>
      <c r="CM55" s="198"/>
      <c r="CN55" s="198" t="s">
        <v>199</v>
      </c>
      <c r="CO55" s="198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131"/>
      <c r="DH55" s="130"/>
      <c r="DI55" s="130"/>
      <c r="DJ55" s="130"/>
      <c r="DK55" s="130"/>
      <c r="DL55" s="222"/>
      <c r="DM55" s="3"/>
      <c r="DN55" s="3"/>
      <c r="DO55" s="102"/>
      <c r="DP55" s="222"/>
      <c r="DQ55" s="222"/>
      <c r="DR55" s="222"/>
      <c r="DS55" s="178"/>
      <c r="DT55" s="222"/>
      <c r="DU55" s="222"/>
      <c r="DV55" s="222"/>
      <c r="DW55" s="105">
        <v>120</v>
      </c>
      <c r="DX55" s="104">
        <v>23.5</v>
      </c>
      <c r="DY55" s="102">
        <v>45.5</v>
      </c>
      <c r="DZ55" s="293">
        <v>0.05</v>
      </c>
      <c r="EA55" s="102">
        <v>5</v>
      </c>
    </row>
    <row r="56" spans="1:131" ht="15.75" customHeight="1" x14ac:dyDescent="0.15">
      <c r="A56" s="136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210"/>
      <c r="P56" s="198"/>
      <c r="Q56" s="198"/>
      <c r="R56" s="198" t="s">
        <v>200</v>
      </c>
      <c r="S56" s="198"/>
      <c r="T56" s="649"/>
      <c r="U56" s="649"/>
      <c r="V56" s="649"/>
      <c r="W56" s="649"/>
      <c r="X56" s="649"/>
      <c r="Y56" s="649"/>
      <c r="Z56" s="649"/>
      <c r="AA56" s="649"/>
      <c r="AB56" s="649"/>
      <c r="AC56" s="649"/>
      <c r="AD56" s="649"/>
      <c r="AE56" s="649"/>
      <c r="AF56" s="198"/>
      <c r="AG56" s="198"/>
      <c r="AH56" s="198"/>
      <c r="AI56" s="198"/>
      <c r="AJ56" s="210"/>
      <c r="AK56" s="131"/>
      <c r="AL56" s="136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210"/>
      <c r="BA56" s="198"/>
      <c r="BB56" s="198"/>
      <c r="BC56" s="198" t="s">
        <v>200</v>
      </c>
      <c r="BD56" s="198"/>
      <c r="BE56" s="649"/>
      <c r="BF56" s="649"/>
      <c r="BG56" s="649"/>
      <c r="BH56" s="649"/>
      <c r="BI56" s="649"/>
      <c r="BJ56" s="649"/>
      <c r="BK56" s="649"/>
      <c r="BL56" s="649"/>
      <c r="BM56" s="649"/>
      <c r="BN56" s="649"/>
      <c r="BO56" s="649"/>
      <c r="BP56" s="649"/>
      <c r="BQ56" s="198"/>
      <c r="BR56" s="198"/>
      <c r="BS56" s="198"/>
      <c r="BT56" s="198"/>
      <c r="BU56" s="210"/>
      <c r="BV56" s="131"/>
      <c r="BW56" s="136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210"/>
      <c r="CL56" s="198"/>
      <c r="CM56" s="198"/>
      <c r="CN56" s="198" t="s">
        <v>200</v>
      </c>
      <c r="CO56" s="198"/>
      <c r="CP56" s="649"/>
      <c r="CQ56" s="649"/>
      <c r="CR56" s="649"/>
      <c r="CS56" s="649"/>
      <c r="CT56" s="649"/>
      <c r="CU56" s="649"/>
      <c r="CV56" s="649"/>
      <c r="CW56" s="649"/>
      <c r="CX56" s="649"/>
      <c r="CY56" s="649"/>
      <c r="CZ56" s="649"/>
      <c r="DA56" s="649"/>
      <c r="DB56" s="198"/>
      <c r="DC56" s="198"/>
      <c r="DD56" s="198"/>
      <c r="DE56" s="198"/>
      <c r="DF56" s="210"/>
      <c r="DG56" s="131"/>
      <c r="DH56" s="130"/>
      <c r="DI56" s="130"/>
      <c r="DJ56" s="130"/>
      <c r="DK56" s="130"/>
      <c r="DL56" s="222"/>
      <c r="DM56" s="3"/>
      <c r="DN56" s="3"/>
      <c r="DO56" s="3"/>
      <c r="DP56" s="102"/>
      <c r="DQ56" s="102"/>
      <c r="DR56" s="102"/>
      <c r="DS56" s="102"/>
      <c r="DT56" s="102"/>
      <c r="DU56" s="102"/>
      <c r="DV56" s="102"/>
      <c r="DW56" s="105">
        <v>130</v>
      </c>
      <c r="DX56" s="104">
        <v>24</v>
      </c>
      <c r="DY56" s="102">
        <v>45.4</v>
      </c>
      <c r="DZ56" s="293">
        <v>0.04</v>
      </c>
      <c r="EA56" s="102">
        <v>5.0999999999999996</v>
      </c>
    </row>
    <row r="57" spans="1:131" ht="6.75" customHeight="1" thickBot="1" x14ac:dyDescent="0.2">
      <c r="A57" s="25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26"/>
      <c r="AL57" s="25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26"/>
      <c r="BW57" s="25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26"/>
      <c r="DH57" s="222"/>
      <c r="DI57" s="222"/>
      <c r="DJ57" s="222"/>
      <c r="DK57" s="222"/>
      <c r="DL57" s="222"/>
      <c r="DM57" s="3"/>
      <c r="DN57" s="3"/>
      <c r="DO57" s="3"/>
      <c r="DP57" s="102"/>
      <c r="DQ57" s="102"/>
      <c r="DR57" s="102"/>
      <c r="DS57" s="102"/>
      <c r="DT57" s="102"/>
      <c r="DU57" s="102"/>
      <c r="DV57" s="102"/>
      <c r="DW57" s="105">
        <v>140</v>
      </c>
      <c r="DX57" s="104">
        <v>24.5</v>
      </c>
      <c r="DY57" s="102">
        <v>45.3</v>
      </c>
      <c r="DZ57" s="293">
        <v>0.03</v>
      </c>
      <c r="EA57" s="102">
        <v>5.2</v>
      </c>
    </row>
    <row r="58" spans="1:131" ht="21" customHeight="1" x14ac:dyDescent="0.15">
      <c r="A58" s="102">
        <f>IF(AND(AC4&gt;0,AC11&gt;0,AC28&gt;0),1,0)</f>
        <v>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>
        <f>IF(AND(BN4&gt;0,BN11&gt;0,BN28&gt;0),1,0)</f>
        <v>0</v>
      </c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>
        <f>IF(AND(CY4&gt;0,CY11&gt;0,CY28&gt;0),1,0)</f>
        <v>0</v>
      </c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  <c r="DD58" s="102"/>
      <c r="DE58" s="102"/>
      <c r="DF58" s="102"/>
      <c r="DG58" s="102"/>
      <c r="DH58" s="102"/>
      <c r="DI58" s="102"/>
      <c r="DJ58" s="102"/>
      <c r="DK58" s="102"/>
      <c r="DL58" s="3"/>
      <c r="DM58" s="3"/>
      <c r="DN58" s="3"/>
      <c r="DO58" s="106" t="s">
        <v>282</v>
      </c>
      <c r="DP58" s="102"/>
      <c r="DQ58" s="102"/>
      <c r="DR58" s="102"/>
      <c r="DS58" s="102"/>
      <c r="DT58" s="102"/>
      <c r="DU58" s="102"/>
      <c r="DV58" s="102"/>
      <c r="DW58" s="105">
        <v>150</v>
      </c>
      <c r="DX58" s="104">
        <v>25</v>
      </c>
      <c r="DY58" s="102">
        <v>45.199999999999996</v>
      </c>
      <c r="DZ58" s="293">
        <v>0.02</v>
      </c>
      <c r="EA58" s="102">
        <v>5.3</v>
      </c>
    </row>
    <row r="59" spans="1:131" ht="20.25" customHeight="1" x14ac:dyDescent="0.1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  <c r="DD59" s="102"/>
      <c r="DE59" s="102"/>
      <c r="DF59" s="102"/>
      <c r="DG59" s="102"/>
      <c r="DH59" s="102"/>
      <c r="DI59" s="102"/>
      <c r="DJ59" s="102"/>
      <c r="DK59" s="102"/>
      <c r="DL59" s="222"/>
      <c r="DM59" s="222"/>
      <c r="DN59" s="222"/>
      <c r="DO59" s="222"/>
      <c r="DP59" s="102"/>
      <c r="DQ59" s="102"/>
      <c r="DR59" s="102"/>
      <c r="DS59" s="102"/>
      <c r="DT59" s="102"/>
      <c r="DU59" s="102"/>
      <c r="DV59" s="102"/>
      <c r="DW59" s="105">
        <v>200</v>
      </c>
      <c r="DX59" s="104">
        <v>25.5</v>
      </c>
      <c r="DY59" s="102">
        <v>45.099999999999994</v>
      </c>
      <c r="DZ59" s="293">
        <v>0.01</v>
      </c>
      <c r="EA59" s="102">
        <v>5.4</v>
      </c>
    </row>
    <row r="60" spans="1:131" ht="8.25" customHeight="1" x14ac:dyDescent="0.15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356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  <c r="DD60" s="102"/>
      <c r="DE60" s="102"/>
      <c r="DF60" s="102"/>
      <c r="DG60" s="102"/>
      <c r="DH60" s="102"/>
      <c r="DI60" s="102"/>
      <c r="DJ60" s="102"/>
      <c r="DK60" s="102"/>
      <c r="DL60" s="222"/>
      <c r="DM60" s="222"/>
      <c r="DN60" s="222"/>
      <c r="DO60" s="222"/>
      <c r="DP60" s="102"/>
      <c r="DQ60" s="102"/>
      <c r="DR60" s="102"/>
      <c r="DS60" s="102"/>
      <c r="DT60" s="102"/>
      <c r="DU60" s="102"/>
      <c r="DV60" s="102"/>
      <c r="DW60" s="105">
        <v>250</v>
      </c>
      <c r="DX60" s="104">
        <v>26</v>
      </c>
      <c r="DY60" s="102">
        <v>44.999999999999993</v>
      </c>
      <c r="DZ60" s="102"/>
      <c r="EA60" s="102">
        <v>5.5</v>
      </c>
    </row>
    <row r="61" spans="1:131" ht="16.5" customHeight="1" x14ac:dyDescent="0.1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356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  <c r="DB61" s="102"/>
      <c r="DC61" s="102"/>
      <c r="DD61" s="102"/>
      <c r="DE61" s="102"/>
      <c r="DF61" s="102"/>
      <c r="DG61" s="102"/>
      <c r="DH61" s="102"/>
      <c r="DI61" s="102"/>
      <c r="DJ61" s="102"/>
      <c r="DK61" s="102"/>
      <c r="DL61" s="43"/>
      <c r="DM61" s="43"/>
      <c r="DN61" s="43"/>
      <c r="DO61" s="43"/>
      <c r="DP61" s="102"/>
      <c r="DQ61" s="102"/>
      <c r="DR61" s="102"/>
      <c r="DS61" s="102"/>
      <c r="DT61" s="102"/>
      <c r="DU61" s="102"/>
      <c r="DV61" s="102"/>
      <c r="DW61" s="105">
        <v>300</v>
      </c>
      <c r="DX61" s="104">
        <v>26.5</v>
      </c>
      <c r="DY61" s="102">
        <v>44.899999999999991</v>
      </c>
      <c r="DZ61" s="102"/>
      <c r="EA61" s="102">
        <v>5.6</v>
      </c>
    </row>
    <row r="62" spans="1:131" ht="9" customHeight="1" x14ac:dyDescent="0.1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43"/>
      <c r="DM62" s="43"/>
      <c r="DN62" s="43"/>
      <c r="DO62" s="43"/>
      <c r="DP62" s="102"/>
      <c r="DQ62" s="102"/>
      <c r="DR62" s="102"/>
      <c r="DS62" s="102"/>
      <c r="DT62" s="102"/>
      <c r="DU62" s="102"/>
      <c r="DV62" s="102"/>
      <c r="DW62" s="105">
        <v>350</v>
      </c>
      <c r="DX62" s="104">
        <v>27</v>
      </c>
      <c r="DY62" s="102">
        <v>44.79999999999999</v>
      </c>
      <c r="DZ62" s="102"/>
      <c r="EA62" s="102">
        <v>5.7</v>
      </c>
    </row>
    <row r="63" spans="1:131" x14ac:dyDescent="0.1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250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3"/>
      <c r="DM63" s="222"/>
      <c r="DN63" s="222"/>
      <c r="DO63" s="222"/>
      <c r="DP63" s="102"/>
      <c r="DQ63" s="102"/>
      <c r="DR63" s="102"/>
      <c r="DS63" s="102"/>
      <c r="DT63" s="102"/>
      <c r="DU63" s="102"/>
      <c r="DV63" s="102"/>
      <c r="DW63" s="105">
        <v>400</v>
      </c>
      <c r="DX63" s="104">
        <v>27.5</v>
      </c>
      <c r="DY63" s="102">
        <v>44.699999999999989</v>
      </c>
      <c r="DZ63" s="102"/>
      <c r="EA63" s="102">
        <v>5.8</v>
      </c>
    </row>
    <row r="64" spans="1:131" ht="4.5" customHeight="1" x14ac:dyDescent="0.1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3"/>
      <c r="DM64" s="222"/>
      <c r="DN64" s="222"/>
      <c r="DO64" s="222"/>
      <c r="DP64" s="102"/>
      <c r="DQ64" s="102"/>
      <c r="DR64" s="102"/>
      <c r="DS64" s="102"/>
      <c r="DT64" s="102"/>
      <c r="DU64" s="102"/>
      <c r="DV64" s="102"/>
      <c r="DW64" s="105">
        <v>450</v>
      </c>
      <c r="DX64" s="104">
        <v>28</v>
      </c>
      <c r="DY64" s="102">
        <v>44.599999999999987</v>
      </c>
      <c r="DZ64" s="102"/>
      <c r="EA64" s="102">
        <v>5.9</v>
      </c>
    </row>
    <row r="65" spans="1:131" ht="14.25" customHeight="1" x14ac:dyDescent="0.15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  <c r="CW65" s="102"/>
      <c r="CX65" s="102"/>
      <c r="CY65" s="102"/>
      <c r="CZ65" s="102"/>
      <c r="DA65" s="102"/>
      <c r="DB65" s="102"/>
      <c r="DC65" s="102"/>
      <c r="DD65" s="102"/>
      <c r="DE65" s="102"/>
      <c r="DF65" s="102"/>
      <c r="DG65" s="102"/>
      <c r="DH65" s="102"/>
      <c r="DI65" s="102"/>
      <c r="DJ65" s="102"/>
      <c r="DK65" s="102"/>
      <c r="DL65" s="121"/>
      <c r="DM65" s="106"/>
      <c r="DN65" s="106"/>
      <c r="DO65" s="102"/>
      <c r="DP65" s="102"/>
      <c r="DQ65" s="102"/>
      <c r="DR65" s="102"/>
      <c r="DS65" s="102"/>
      <c r="DT65" s="102"/>
      <c r="DU65" s="102"/>
      <c r="DV65" s="102"/>
      <c r="DW65" s="105">
        <v>500</v>
      </c>
      <c r="DX65" s="104">
        <v>28.5</v>
      </c>
      <c r="DY65" s="102">
        <v>44.499999999999986</v>
      </c>
      <c r="DZ65" s="102"/>
      <c r="EA65" s="102">
        <v>6</v>
      </c>
    </row>
    <row r="66" spans="1:131" ht="14.25" customHeight="1" x14ac:dyDescent="0.15">
      <c r="A66" s="102"/>
      <c r="B66" s="102"/>
      <c r="C66" s="102"/>
      <c r="D66" s="102"/>
      <c r="E66" s="102"/>
      <c r="F66" s="102"/>
      <c r="G66" s="106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  <c r="CW66" s="102"/>
      <c r="CX66" s="102"/>
      <c r="CY66" s="102"/>
      <c r="CZ66" s="102"/>
      <c r="DA66" s="102"/>
      <c r="DB66" s="102"/>
      <c r="DC66" s="102"/>
      <c r="DD66" s="102"/>
      <c r="DE66" s="102"/>
      <c r="DF66" s="102"/>
      <c r="DG66" s="102"/>
      <c r="DH66" s="102"/>
      <c r="DI66" s="102"/>
      <c r="DJ66" s="102"/>
      <c r="DK66" s="102"/>
      <c r="DL66" s="121"/>
      <c r="DM66" s="106"/>
      <c r="DN66" s="106"/>
      <c r="DO66" s="102"/>
      <c r="DP66" s="102"/>
      <c r="DQ66" s="102"/>
      <c r="DR66" s="102"/>
      <c r="DS66" s="102"/>
      <c r="DT66" s="102"/>
      <c r="DU66" s="102"/>
      <c r="DV66" s="102"/>
      <c r="DW66" s="105">
        <v>600</v>
      </c>
      <c r="DX66" s="104">
        <v>29</v>
      </c>
      <c r="DY66" s="102">
        <v>44.399999999999984</v>
      </c>
      <c r="DZ66" s="102"/>
      <c r="EA66" s="102">
        <v>6.1</v>
      </c>
    </row>
    <row r="67" spans="1:131" ht="9" customHeight="1" x14ac:dyDescent="0.15">
      <c r="A67" s="102"/>
      <c r="B67" s="102"/>
      <c r="C67" s="102"/>
      <c r="D67" s="102"/>
      <c r="E67" s="102"/>
      <c r="F67" s="102"/>
      <c r="G67" s="222"/>
      <c r="H67" s="222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2"/>
      <c r="U67" s="106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  <c r="CW67" s="102"/>
      <c r="CX67" s="102"/>
      <c r="CY67" s="102"/>
      <c r="CZ67" s="102"/>
      <c r="DA67" s="102"/>
      <c r="DB67" s="102"/>
      <c r="DC67" s="102"/>
      <c r="DD67" s="102"/>
      <c r="DE67" s="102"/>
      <c r="DF67" s="102"/>
      <c r="DG67" s="102"/>
      <c r="DH67" s="102"/>
      <c r="DI67" s="102"/>
      <c r="DJ67" s="102"/>
      <c r="DK67" s="102"/>
      <c r="DL67" s="121"/>
      <c r="DM67" s="106"/>
      <c r="DN67" s="106"/>
      <c r="DO67" s="102"/>
      <c r="DP67" s="102"/>
      <c r="DQ67" s="102"/>
      <c r="DR67" s="102"/>
      <c r="DS67" s="102"/>
      <c r="DT67" s="102"/>
      <c r="DU67" s="102"/>
      <c r="DV67" s="102"/>
      <c r="DW67" s="105">
        <v>700</v>
      </c>
      <c r="DX67" s="104">
        <v>29.5</v>
      </c>
      <c r="DY67" s="102">
        <v>44.299999999999983</v>
      </c>
      <c r="DZ67" s="102"/>
      <c r="EA67" s="102">
        <v>6.2</v>
      </c>
    </row>
    <row r="68" spans="1:131" ht="9" customHeight="1" x14ac:dyDescent="0.15">
      <c r="A68" s="102"/>
      <c r="B68" s="102"/>
      <c r="C68" s="102"/>
      <c r="D68" s="102"/>
      <c r="E68" s="102"/>
      <c r="F68" s="102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  <c r="CW68" s="102"/>
      <c r="CX68" s="102"/>
      <c r="CY68" s="102"/>
      <c r="CZ68" s="102"/>
      <c r="DA68" s="102"/>
      <c r="DB68" s="102"/>
      <c r="DC68" s="102"/>
      <c r="DD68" s="102"/>
      <c r="DE68" s="102"/>
      <c r="DF68" s="102"/>
      <c r="DG68" s="102"/>
      <c r="DH68" s="102"/>
      <c r="DI68" s="102"/>
      <c r="DJ68" s="102"/>
      <c r="DK68" s="102"/>
      <c r="DL68" s="102"/>
      <c r="DM68" s="106"/>
      <c r="DN68" s="106"/>
      <c r="DO68" s="102"/>
      <c r="DP68" s="102"/>
      <c r="DQ68" s="102"/>
      <c r="DR68" s="102"/>
      <c r="DS68" s="102"/>
      <c r="DT68" s="102"/>
      <c r="DU68" s="102"/>
      <c r="DV68" s="102"/>
      <c r="DW68" s="105">
        <v>800</v>
      </c>
      <c r="DX68" s="104">
        <v>30</v>
      </c>
      <c r="DY68" s="102">
        <v>44.199999999999982</v>
      </c>
      <c r="DZ68" s="102"/>
      <c r="EA68" s="102">
        <v>6.3</v>
      </c>
    </row>
    <row r="69" spans="1:131" x14ac:dyDescent="0.1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  <c r="CW69" s="102"/>
      <c r="CX69" s="102"/>
      <c r="CY69" s="102"/>
      <c r="CZ69" s="102"/>
      <c r="DA69" s="102"/>
      <c r="DB69" s="102"/>
      <c r="DC69" s="102"/>
      <c r="DD69" s="102"/>
      <c r="DE69" s="102"/>
      <c r="DF69" s="102"/>
      <c r="DG69" s="102"/>
      <c r="DH69" s="102"/>
      <c r="DI69" s="102"/>
      <c r="DJ69" s="102"/>
      <c r="DK69" s="102"/>
      <c r="DL69" s="106"/>
      <c r="DM69" s="106"/>
      <c r="DN69" s="106"/>
      <c r="DO69" s="102"/>
      <c r="DP69" s="102"/>
      <c r="DQ69" s="102"/>
      <c r="DR69" s="102"/>
      <c r="DS69" s="102"/>
      <c r="DT69" s="102"/>
      <c r="DU69" s="102"/>
      <c r="DV69" s="102"/>
      <c r="DW69" s="105">
        <v>900</v>
      </c>
      <c r="DX69" s="104">
        <v>30.5</v>
      </c>
      <c r="DY69" s="102">
        <v>44.09999999999998</v>
      </c>
      <c r="DZ69" s="102"/>
      <c r="EA69" s="102">
        <v>6.4</v>
      </c>
    </row>
    <row r="70" spans="1:131" x14ac:dyDescent="0.1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  <c r="CW70" s="102"/>
      <c r="CX70" s="102"/>
      <c r="CY70" s="102"/>
      <c r="CZ70" s="102"/>
      <c r="DA70" s="102"/>
      <c r="DB70" s="102"/>
      <c r="DC70" s="102"/>
      <c r="DD70" s="102"/>
      <c r="DE70" s="102"/>
      <c r="DF70" s="102"/>
      <c r="DG70" s="102"/>
      <c r="DH70" s="102"/>
      <c r="DI70" s="102"/>
      <c r="DJ70" s="102"/>
      <c r="DK70" s="102"/>
      <c r="DL70" s="106"/>
      <c r="DM70" s="106"/>
      <c r="DN70" s="106"/>
      <c r="DO70" s="102"/>
      <c r="DP70" s="102"/>
      <c r="DQ70" s="102"/>
      <c r="DR70" s="102"/>
      <c r="DS70" s="102"/>
      <c r="DT70" s="102"/>
      <c r="DU70" s="102"/>
      <c r="DV70" s="102"/>
      <c r="DW70" s="105">
        <v>1000</v>
      </c>
      <c r="DX70" s="104">
        <v>31</v>
      </c>
      <c r="DY70" s="102">
        <v>43.999999999999979</v>
      </c>
      <c r="DZ70" s="102"/>
      <c r="EA70" s="102">
        <v>6.5</v>
      </c>
    </row>
    <row r="71" spans="1:131" x14ac:dyDescent="0.15">
      <c r="A71" s="102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289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  <c r="CW71" s="102"/>
      <c r="CX71" s="102"/>
      <c r="CY71" s="102"/>
      <c r="CZ71" s="102"/>
      <c r="DA71" s="102"/>
      <c r="DB71" s="102"/>
      <c r="DC71" s="102"/>
      <c r="DD71" s="102"/>
      <c r="DE71" s="102"/>
      <c r="DF71" s="102"/>
      <c r="DG71" s="102"/>
      <c r="DH71" s="102"/>
      <c r="DI71" s="102"/>
      <c r="DJ71" s="102"/>
      <c r="DK71" s="102"/>
      <c r="DL71" s="106"/>
      <c r="DM71" s="106"/>
      <c r="DN71" s="106"/>
      <c r="DO71" s="102"/>
      <c r="DP71" s="102"/>
      <c r="DQ71" s="102"/>
      <c r="DR71" s="102"/>
      <c r="DS71" s="102"/>
      <c r="DT71" s="102"/>
      <c r="DU71" s="102"/>
      <c r="DV71" s="102"/>
      <c r="DW71" s="105"/>
      <c r="DX71" s="104">
        <v>31.5</v>
      </c>
      <c r="DY71" s="102">
        <v>43.899999999999977</v>
      </c>
      <c r="DZ71" s="102"/>
      <c r="EA71" s="102">
        <v>6.6</v>
      </c>
    </row>
    <row r="72" spans="1:131" ht="5.25" customHeight="1" x14ac:dyDescent="0.15">
      <c r="A72" s="102"/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  <c r="CW72" s="102"/>
      <c r="CX72" s="102"/>
      <c r="CY72" s="102"/>
      <c r="CZ72" s="102"/>
      <c r="DA72" s="102"/>
      <c r="DB72" s="102"/>
      <c r="DC72" s="102"/>
      <c r="DD72" s="102"/>
      <c r="DE72" s="102"/>
      <c r="DF72" s="102"/>
      <c r="DG72" s="102"/>
      <c r="DH72" s="102"/>
      <c r="DI72" s="102"/>
      <c r="DJ72" s="102"/>
      <c r="DK72" s="102"/>
      <c r="DL72" s="222"/>
      <c r="DM72" s="106"/>
      <c r="DN72" s="106"/>
      <c r="DO72" s="102"/>
      <c r="DP72" s="102"/>
      <c r="DQ72" s="102"/>
      <c r="DR72" s="102"/>
      <c r="DS72" s="102"/>
      <c r="DT72" s="102"/>
      <c r="DU72" s="102"/>
      <c r="DV72" s="102"/>
      <c r="DW72" s="105"/>
      <c r="DX72" s="104">
        <v>32</v>
      </c>
      <c r="DY72" s="102">
        <v>43.799999999999976</v>
      </c>
      <c r="DZ72" s="102"/>
      <c r="EA72" s="102">
        <v>6.7</v>
      </c>
    </row>
    <row r="73" spans="1:131" x14ac:dyDescent="0.15">
      <c r="A73" s="102"/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  <c r="CW73" s="102"/>
      <c r="CX73" s="102"/>
      <c r="CY73" s="102"/>
      <c r="CZ73" s="102"/>
      <c r="DA73" s="102"/>
      <c r="DB73" s="102"/>
      <c r="DC73" s="102"/>
      <c r="DD73" s="102"/>
      <c r="DE73" s="102"/>
      <c r="DF73" s="102"/>
      <c r="DG73" s="102"/>
      <c r="DH73" s="102"/>
      <c r="DI73" s="102"/>
      <c r="DJ73" s="102"/>
      <c r="DK73" s="102"/>
      <c r="DL73" s="102"/>
      <c r="DM73" s="106"/>
      <c r="DN73" s="106"/>
      <c r="DO73" s="102"/>
      <c r="DP73" s="102"/>
      <c r="DQ73" s="102"/>
      <c r="DR73" s="102"/>
      <c r="DS73" s="102"/>
      <c r="DT73" s="102"/>
      <c r="DU73" s="102"/>
      <c r="DV73" s="102"/>
      <c r="DW73" s="105"/>
      <c r="DX73" s="104">
        <v>32.5</v>
      </c>
      <c r="DY73" s="102">
        <v>43.699999999999974</v>
      </c>
      <c r="DZ73" s="102"/>
      <c r="EA73" s="102">
        <v>6.8</v>
      </c>
    </row>
    <row r="74" spans="1:131" x14ac:dyDescent="0.15">
      <c r="A74" s="102"/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  <c r="CW74" s="102"/>
      <c r="CX74" s="102"/>
      <c r="CY74" s="102"/>
      <c r="CZ74" s="102"/>
      <c r="DA74" s="102"/>
      <c r="DB74" s="102"/>
      <c r="DC74" s="102"/>
      <c r="DD74" s="102"/>
      <c r="DE74" s="102"/>
      <c r="DF74" s="102"/>
      <c r="DG74" s="102"/>
      <c r="DH74" s="102"/>
      <c r="DI74" s="102"/>
      <c r="DJ74" s="102"/>
      <c r="DK74" s="102"/>
      <c r="DL74" s="102"/>
      <c r="DM74" s="102"/>
      <c r="DN74" s="102"/>
      <c r="DO74" s="102"/>
      <c r="DP74" s="102"/>
      <c r="DQ74" s="102"/>
      <c r="DR74" s="102"/>
      <c r="DS74" s="102"/>
      <c r="DT74" s="102"/>
      <c r="DU74" s="102"/>
      <c r="DV74" s="102"/>
      <c r="DW74" s="105"/>
      <c r="DX74" s="104">
        <v>33</v>
      </c>
      <c r="DY74" s="102">
        <v>43.599999999999973</v>
      </c>
      <c r="DZ74" s="102"/>
      <c r="EA74" s="102">
        <v>6.9</v>
      </c>
    </row>
    <row r="75" spans="1:131" x14ac:dyDescent="0.15">
      <c r="A75" s="102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  <c r="CW75" s="102"/>
      <c r="CX75" s="102"/>
      <c r="CY75" s="102"/>
      <c r="CZ75" s="102"/>
      <c r="DA75" s="102"/>
      <c r="DB75" s="102"/>
      <c r="DC75" s="102"/>
      <c r="DD75" s="102"/>
      <c r="DE75" s="102"/>
      <c r="DF75" s="102"/>
      <c r="DG75" s="102"/>
      <c r="DH75" s="102"/>
      <c r="DI75" s="102"/>
      <c r="DJ75" s="102"/>
      <c r="DK75" s="102"/>
      <c r="DL75" s="102"/>
      <c r="DM75" s="102"/>
      <c r="DN75" s="102"/>
      <c r="DO75" s="102"/>
      <c r="DP75" s="102"/>
      <c r="DQ75" s="102"/>
      <c r="DR75" s="102"/>
      <c r="DS75" s="102"/>
      <c r="DT75" s="102"/>
      <c r="DU75" s="102"/>
      <c r="DV75" s="102"/>
      <c r="DW75" s="105"/>
      <c r="DX75" s="104">
        <v>33.5</v>
      </c>
      <c r="DY75" s="102">
        <v>43.499999999999972</v>
      </c>
      <c r="DZ75" s="102"/>
      <c r="EA75" s="102">
        <v>7</v>
      </c>
    </row>
    <row r="76" spans="1:131" x14ac:dyDescent="0.1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  <c r="CW76" s="102"/>
      <c r="CX76" s="102"/>
      <c r="CY76" s="102"/>
      <c r="CZ76" s="102"/>
      <c r="DA76" s="102"/>
      <c r="DB76" s="102"/>
      <c r="DC76" s="102"/>
      <c r="DD76" s="102"/>
      <c r="DE76" s="102"/>
      <c r="DF76" s="102"/>
      <c r="DG76" s="102"/>
      <c r="DH76" s="102"/>
      <c r="DI76" s="102"/>
      <c r="DJ76" s="102"/>
      <c r="DK76" s="102"/>
      <c r="DL76" s="102"/>
      <c r="DM76" s="102"/>
      <c r="DN76" s="102"/>
      <c r="DO76" s="102"/>
      <c r="DP76" s="102"/>
      <c r="DQ76" s="102"/>
      <c r="DR76" s="102"/>
      <c r="DS76" s="102"/>
      <c r="DT76" s="102"/>
      <c r="DU76" s="102"/>
      <c r="DV76" s="102"/>
      <c r="DW76" s="105"/>
      <c r="DX76" s="104">
        <v>34</v>
      </c>
      <c r="DY76" s="102">
        <v>43.39999999999997</v>
      </c>
      <c r="DZ76" s="102"/>
      <c r="EA76" s="102">
        <v>7.1</v>
      </c>
    </row>
    <row r="77" spans="1:131" x14ac:dyDescent="0.15">
      <c r="A77" s="102"/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5"/>
      <c r="DX77" s="104">
        <v>34.5</v>
      </c>
      <c r="DY77" s="102">
        <v>43.299999999999969</v>
      </c>
      <c r="DZ77" s="102"/>
      <c r="EA77" s="102">
        <v>7.2</v>
      </c>
    </row>
    <row r="78" spans="1:131" x14ac:dyDescent="0.15">
      <c r="A78" s="102"/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  <c r="CW78" s="102"/>
      <c r="CX78" s="102"/>
      <c r="CY78" s="102"/>
      <c r="CZ78" s="102"/>
      <c r="DA78" s="102"/>
      <c r="DB78" s="102"/>
      <c r="DC78" s="102"/>
      <c r="DD78" s="102"/>
      <c r="DE78" s="102"/>
      <c r="DF78" s="102"/>
      <c r="DG78" s="102"/>
      <c r="DH78" s="102"/>
      <c r="DI78" s="102"/>
      <c r="DJ78" s="102"/>
      <c r="DK78" s="102"/>
      <c r="DL78" s="102"/>
      <c r="DM78" s="102"/>
      <c r="DN78" s="102"/>
      <c r="DO78" s="102"/>
      <c r="DP78" s="102"/>
      <c r="DQ78" s="102"/>
      <c r="DR78" s="102"/>
      <c r="DS78" s="102"/>
      <c r="DT78" s="102"/>
      <c r="DU78" s="102"/>
      <c r="DV78" s="102"/>
      <c r="DW78" s="105"/>
      <c r="DX78" s="104">
        <v>35</v>
      </c>
      <c r="DY78" s="102">
        <v>43.199999999999967</v>
      </c>
      <c r="DZ78" s="102"/>
      <c r="EA78" s="102">
        <v>7.3</v>
      </c>
    </row>
    <row r="79" spans="1:131" x14ac:dyDescent="0.1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  <c r="CW79" s="102"/>
      <c r="CX79" s="102"/>
      <c r="CY79" s="102"/>
      <c r="CZ79" s="102"/>
      <c r="DA79" s="102"/>
      <c r="DB79" s="102"/>
      <c r="DC79" s="102"/>
      <c r="DD79" s="102"/>
      <c r="DE79" s="102"/>
      <c r="DF79" s="102"/>
      <c r="DG79" s="102"/>
      <c r="DH79" s="102"/>
      <c r="DI79" s="102"/>
      <c r="DJ79" s="102"/>
      <c r="DK79" s="102"/>
      <c r="DL79" s="102"/>
      <c r="DM79" s="102"/>
      <c r="DN79" s="102"/>
      <c r="DO79" s="102"/>
      <c r="DP79" s="102"/>
      <c r="DQ79" s="102"/>
      <c r="DR79" s="102"/>
      <c r="DS79" s="102"/>
      <c r="DT79" s="102"/>
      <c r="DU79" s="102"/>
      <c r="DV79" s="102"/>
      <c r="DW79" s="102"/>
      <c r="DX79" s="104">
        <v>35.5</v>
      </c>
      <c r="DY79" s="102">
        <v>43.099999999999966</v>
      </c>
      <c r="DZ79" s="102"/>
      <c r="EA79" s="102">
        <v>7.4</v>
      </c>
    </row>
    <row r="80" spans="1:131" x14ac:dyDescent="0.1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  <c r="CW80" s="102"/>
      <c r="CX80" s="102"/>
      <c r="CY80" s="102"/>
      <c r="CZ80" s="102"/>
      <c r="DA80" s="102"/>
      <c r="DB80" s="102"/>
      <c r="DC80" s="102"/>
      <c r="DD80" s="102"/>
      <c r="DE80" s="102"/>
      <c r="DF80" s="102"/>
      <c r="DG80" s="102"/>
      <c r="DH80" s="102"/>
      <c r="DI80" s="102"/>
      <c r="DJ80" s="102"/>
      <c r="DK80" s="102"/>
      <c r="DL80" s="102"/>
      <c r="DM80" s="102"/>
      <c r="DN80" s="102"/>
      <c r="DO80" s="102"/>
      <c r="DP80" s="102"/>
      <c r="DQ80" s="102"/>
      <c r="DR80" s="102"/>
      <c r="DS80" s="102"/>
      <c r="DT80" s="102"/>
      <c r="DU80" s="102"/>
      <c r="DV80" s="102"/>
      <c r="DW80" s="102"/>
      <c r="DX80" s="104">
        <v>36</v>
      </c>
      <c r="DY80" s="102">
        <v>42.999999999999964</v>
      </c>
      <c r="DZ80" s="102"/>
      <c r="EA80" s="102">
        <v>7.5</v>
      </c>
    </row>
    <row r="81" spans="1:131" x14ac:dyDescent="0.15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  <c r="CW81" s="102"/>
      <c r="CX81" s="102"/>
      <c r="CY81" s="102"/>
      <c r="CZ81" s="102"/>
      <c r="DA81" s="10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4">
        <v>36.5</v>
      </c>
      <c r="DY81" s="102">
        <v>42.899999999999963</v>
      </c>
      <c r="DZ81" s="102"/>
      <c r="EA81" s="102">
        <v>7.6</v>
      </c>
    </row>
    <row r="82" spans="1:131" x14ac:dyDescent="0.15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  <c r="CW82" s="102"/>
      <c r="CX82" s="102"/>
      <c r="CY82" s="102"/>
      <c r="CZ82" s="102"/>
      <c r="DA82" s="102"/>
      <c r="DB82" s="102"/>
      <c r="DC82" s="102"/>
      <c r="DD82" s="102"/>
      <c r="DE82" s="102"/>
      <c r="DF82" s="102"/>
      <c r="DG82" s="102"/>
      <c r="DH82" s="102"/>
      <c r="DI82" s="102"/>
      <c r="DJ82" s="102"/>
      <c r="DK82" s="102"/>
      <c r="DL82" s="102"/>
      <c r="DM82" s="102"/>
      <c r="DN82" s="102"/>
      <c r="DO82" s="102"/>
      <c r="DP82" s="102"/>
      <c r="DQ82" s="102"/>
      <c r="DR82" s="102"/>
      <c r="DS82" s="102"/>
      <c r="DT82" s="102"/>
      <c r="DU82" s="102"/>
      <c r="DV82" s="102"/>
      <c r="DW82" s="102"/>
      <c r="DX82" s="104">
        <v>37</v>
      </c>
      <c r="DY82" s="102">
        <v>42.799999999999962</v>
      </c>
      <c r="DZ82" s="102"/>
      <c r="EA82" s="102">
        <v>7.7</v>
      </c>
    </row>
    <row r="83" spans="1:131" x14ac:dyDescent="0.15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  <c r="CW83" s="102"/>
      <c r="CX83" s="102"/>
      <c r="CY83" s="102"/>
      <c r="CZ83" s="102"/>
      <c r="DA83" s="102"/>
      <c r="DB83" s="102"/>
      <c r="DC83" s="102"/>
      <c r="DD83" s="102"/>
      <c r="DE83" s="102"/>
      <c r="DF83" s="102"/>
      <c r="DG83" s="102"/>
      <c r="DH83" s="102"/>
      <c r="DI83" s="102"/>
      <c r="DJ83" s="102"/>
      <c r="DK83" s="102"/>
      <c r="DL83" s="102"/>
      <c r="DM83" s="102"/>
      <c r="DN83" s="102"/>
      <c r="DO83" s="102"/>
      <c r="DP83" s="102"/>
      <c r="DQ83" s="102"/>
      <c r="DR83" s="102"/>
      <c r="DS83" s="102"/>
      <c r="DT83" s="102"/>
      <c r="DU83" s="102"/>
      <c r="DV83" s="102"/>
      <c r="DW83" s="102"/>
      <c r="DX83" s="104">
        <v>37.5</v>
      </c>
      <c r="DY83" s="102">
        <v>42.69999999999996</v>
      </c>
      <c r="DZ83" s="102"/>
      <c r="EA83" s="102">
        <v>7.8</v>
      </c>
    </row>
    <row r="84" spans="1:131" x14ac:dyDescent="0.15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  <c r="CW84" s="102"/>
      <c r="CX84" s="102"/>
      <c r="CY84" s="102"/>
      <c r="CZ84" s="102"/>
      <c r="DA84" s="102"/>
      <c r="DB84" s="102"/>
      <c r="DC84" s="102"/>
      <c r="DD84" s="102"/>
      <c r="DE84" s="102"/>
      <c r="DF84" s="102"/>
      <c r="DG84" s="102"/>
      <c r="DH84" s="102"/>
      <c r="DI84" s="102"/>
      <c r="DJ84" s="102"/>
      <c r="DK84" s="102"/>
      <c r="DL84" s="102"/>
      <c r="DM84" s="102"/>
      <c r="DN84" s="102"/>
      <c r="DO84" s="102"/>
      <c r="DP84" s="102"/>
      <c r="DQ84" s="102"/>
      <c r="DR84" s="102"/>
      <c r="DS84" s="102"/>
      <c r="DT84" s="102"/>
      <c r="DU84" s="102"/>
      <c r="DV84" s="102"/>
      <c r="DW84" s="102"/>
      <c r="DX84" s="104">
        <v>38</v>
      </c>
      <c r="DY84" s="102">
        <v>42.599999999999959</v>
      </c>
      <c r="DZ84" s="102"/>
      <c r="EA84" s="102">
        <v>7.9</v>
      </c>
    </row>
    <row r="85" spans="1:131" x14ac:dyDescent="0.15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  <c r="CW85" s="102"/>
      <c r="CX85" s="102"/>
      <c r="CY85" s="102"/>
      <c r="CZ85" s="102"/>
      <c r="DA85" s="102"/>
      <c r="DB85" s="102"/>
      <c r="DC85" s="102"/>
      <c r="DD85" s="102"/>
      <c r="DE85" s="102"/>
      <c r="DF85" s="102"/>
      <c r="DG85" s="102"/>
      <c r="DH85" s="102"/>
      <c r="DI85" s="102"/>
      <c r="DJ85" s="102"/>
      <c r="DK85" s="102"/>
      <c r="DL85" s="102"/>
      <c r="DM85" s="102"/>
      <c r="DN85" s="102"/>
      <c r="DO85" s="102"/>
      <c r="DP85" s="102"/>
      <c r="DQ85" s="102"/>
      <c r="DR85" s="102"/>
      <c r="DS85" s="102"/>
      <c r="DT85" s="102"/>
      <c r="DU85" s="102"/>
      <c r="DV85" s="102"/>
      <c r="DW85" s="102"/>
      <c r="DX85" s="104">
        <v>38.5</v>
      </c>
      <c r="DY85" s="102">
        <v>42.499999999999957</v>
      </c>
      <c r="DZ85" s="102"/>
      <c r="EA85" s="102">
        <v>8</v>
      </c>
    </row>
    <row r="86" spans="1:131" x14ac:dyDescent="0.15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  <c r="CW86" s="102"/>
      <c r="CX86" s="102"/>
      <c r="CY86" s="102"/>
      <c r="CZ86" s="102"/>
      <c r="DA86" s="102"/>
      <c r="DB86" s="102"/>
      <c r="DC86" s="102"/>
      <c r="DD86" s="102"/>
      <c r="DE86" s="102"/>
      <c r="DF86" s="102"/>
      <c r="DG86" s="102"/>
      <c r="DH86" s="102"/>
      <c r="DI86" s="102"/>
      <c r="DJ86" s="102"/>
      <c r="DK86" s="102"/>
      <c r="DL86" s="102"/>
      <c r="DM86" s="102"/>
      <c r="DN86" s="102"/>
      <c r="DO86" s="102"/>
      <c r="DP86" s="102"/>
      <c r="DQ86" s="102"/>
      <c r="DR86" s="102"/>
      <c r="DS86" s="102"/>
      <c r="DT86" s="102"/>
      <c r="DU86" s="102"/>
      <c r="DV86" s="102"/>
      <c r="DW86" s="102"/>
      <c r="DX86" s="104">
        <v>39</v>
      </c>
      <c r="DY86" s="102">
        <v>42.399999999999956</v>
      </c>
      <c r="DZ86" s="102"/>
      <c r="EA86" s="102">
        <v>8.1</v>
      </c>
    </row>
    <row r="87" spans="1:131" x14ac:dyDescent="0.15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  <c r="CW87" s="102"/>
      <c r="CX87" s="102"/>
      <c r="CY87" s="102"/>
      <c r="CZ87" s="102"/>
      <c r="DA87" s="102"/>
      <c r="DB87" s="102"/>
      <c r="DC87" s="102"/>
      <c r="DD87" s="102"/>
      <c r="DE87" s="102"/>
      <c r="DF87" s="102"/>
      <c r="DG87" s="102"/>
      <c r="DH87" s="102"/>
      <c r="DI87" s="102"/>
      <c r="DJ87" s="102"/>
      <c r="DK87" s="102"/>
      <c r="DL87" s="102"/>
      <c r="DM87" s="102"/>
      <c r="DN87" s="102"/>
      <c r="DO87" s="102"/>
      <c r="DP87" s="102"/>
      <c r="DQ87" s="102"/>
      <c r="DR87" s="102"/>
      <c r="DS87" s="102"/>
      <c r="DT87" s="102"/>
      <c r="DU87" s="102"/>
      <c r="DV87" s="102"/>
      <c r="DW87" s="102"/>
      <c r="DX87" s="104">
        <v>39.5</v>
      </c>
      <c r="DY87" s="102">
        <v>42.299999999999955</v>
      </c>
      <c r="DZ87" s="102"/>
      <c r="EA87" s="102">
        <v>8.1999999999999993</v>
      </c>
    </row>
    <row r="88" spans="1:131" x14ac:dyDescent="0.15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  <c r="CW88" s="102"/>
      <c r="CX88" s="102"/>
      <c r="CY88" s="102"/>
      <c r="CZ88" s="102"/>
      <c r="DA88" s="102"/>
      <c r="DB88" s="102"/>
      <c r="DC88" s="102"/>
      <c r="DD88" s="102"/>
      <c r="DE88" s="102"/>
      <c r="DF88" s="102"/>
      <c r="DG88" s="102"/>
      <c r="DH88" s="102"/>
      <c r="DI88" s="102"/>
      <c r="DJ88" s="102"/>
      <c r="DK88" s="102"/>
      <c r="DL88" s="102"/>
      <c r="DM88" s="102"/>
      <c r="DN88" s="102"/>
      <c r="DO88" s="102"/>
      <c r="DP88" s="102"/>
      <c r="DQ88" s="102"/>
      <c r="DR88" s="102"/>
      <c r="DS88" s="102"/>
      <c r="DT88" s="102"/>
      <c r="DU88" s="102"/>
      <c r="DV88" s="102"/>
      <c r="DW88" s="102"/>
      <c r="DX88" s="104">
        <v>40</v>
      </c>
      <c r="DY88" s="102">
        <v>42.199999999999953</v>
      </c>
      <c r="DZ88" s="102"/>
      <c r="EA88" s="102">
        <v>8.3000000000000007</v>
      </c>
    </row>
    <row r="89" spans="1:131" x14ac:dyDescent="0.15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  <c r="CW89" s="102"/>
      <c r="CX89" s="102"/>
      <c r="CY89" s="102"/>
      <c r="CZ89" s="102"/>
      <c r="DA89" s="102"/>
      <c r="DB89" s="102"/>
      <c r="DC89" s="102"/>
      <c r="DD89" s="102"/>
      <c r="DE89" s="102"/>
      <c r="DF89" s="102"/>
      <c r="DG89" s="102"/>
      <c r="DH89" s="102"/>
      <c r="DI89" s="102"/>
      <c r="DJ89" s="102"/>
      <c r="DK89" s="102"/>
      <c r="DL89" s="102"/>
      <c r="DM89" s="102"/>
      <c r="DN89" s="102"/>
      <c r="DO89" s="102"/>
      <c r="DP89" s="102"/>
      <c r="DQ89" s="102"/>
      <c r="DR89" s="102"/>
      <c r="DS89" s="102"/>
      <c r="DT89" s="102"/>
      <c r="DU89" s="102"/>
      <c r="DV89" s="102"/>
      <c r="DW89" s="102"/>
      <c r="DX89" s="104">
        <v>40.5</v>
      </c>
      <c r="DY89" s="102">
        <v>42.099999999999952</v>
      </c>
      <c r="DZ89" s="102"/>
      <c r="EA89" s="102">
        <v>8.4</v>
      </c>
    </row>
    <row r="90" spans="1:131" x14ac:dyDescent="0.15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4">
        <v>41</v>
      </c>
      <c r="DY90" s="102">
        <v>41.99999999999995</v>
      </c>
      <c r="DZ90" s="102"/>
      <c r="EA90" s="102">
        <v>8.5</v>
      </c>
    </row>
    <row r="91" spans="1:131" x14ac:dyDescent="0.1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4">
        <v>41.5</v>
      </c>
      <c r="DY91" s="102">
        <v>41.9</v>
      </c>
      <c r="DZ91" s="102"/>
      <c r="EA91" s="102">
        <v>8.6</v>
      </c>
    </row>
    <row r="92" spans="1:131" x14ac:dyDescent="0.15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  <c r="CW92" s="102"/>
      <c r="CX92" s="102"/>
      <c r="CY92" s="102"/>
      <c r="CZ92" s="102"/>
      <c r="DA92" s="102"/>
      <c r="DB92" s="102"/>
      <c r="DC92" s="102"/>
      <c r="DD92" s="102"/>
      <c r="DE92" s="102"/>
      <c r="DF92" s="102"/>
      <c r="DG92" s="102"/>
      <c r="DH92" s="102"/>
      <c r="DI92" s="102"/>
      <c r="DJ92" s="102"/>
      <c r="DK92" s="102"/>
      <c r="DL92" s="102"/>
      <c r="DM92" s="102"/>
      <c r="DN92" s="102"/>
      <c r="DO92" s="102"/>
      <c r="DP92" s="102"/>
      <c r="DQ92" s="102"/>
      <c r="DR92" s="102"/>
      <c r="DS92" s="102"/>
      <c r="DT92" s="102"/>
      <c r="DU92" s="102"/>
      <c r="DV92" s="102"/>
      <c r="DW92" s="102"/>
      <c r="DX92" s="104">
        <v>42</v>
      </c>
      <c r="DY92" s="102">
        <v>41.8</v>
      </c>
      <c r="DZ92" s="102"/>
      <c r="EA92" s="102">
        <v>8.6999999999999993</v>
      </c>
    </row>
    <row r="93" spans="1:131" x14ac:dyDescent="0.15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  <c r="CW93" s="102"/>
      <c r="CX93" s="102"/>
      <c r="CY93" s="102"/>
      <c r="CZ93" s="102"/>
      <c r="DA93" s="102"/>
      <c r="DB93" s="102"/>
      <c r="DC93" s="102"/>
      <c r="DD93" s="102"/>
      <c r="DE93" s="102"/>
      <c r="DF93" s="102"/>
      <c r="DG93" s="102"/>
      <c r="DH93" s="102"/>
      <c r="DI93" s="102"/>
      <c r="DJ93" s="102"/>
      <c r="DK93" s="102"/>
      <c r="DL93" s="102"/>
      <c r="DM93" s="102"/>
      <c r="DN93" s="102"/>
      <c r="DO93" s="102"/>
      <c r="DP93" s="102"/>
      <c r="DQ93" s="102"/>
      <c r="DR93" s="102"/>
      <c r="DS93" s="102"/>
      <c r="DT93" s="102"/>
      <c r="DU93" s="102"/>
      <c r="DV93" s="102"/>
      <c r="DW93" s="102"/>
      <c r="DX93" s="104">
        <v>42.5</v>
      </c>
      <c r="DY93" s="102">
        <v>41.699999999999996</v>
      </c>
      <c r="DZ93" s="102"/>
      <c r="EA93" s="102">
        <v>8.8000000000000007</v>
      </c>
    </row>
    <row r="94" spans="1:131" x14ac:dyDescent="0.15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4">
        <v>43</v>
      </c>
      <c r="DY94" s="102">
        <v>41.599999999999994</v>
      </c>
      <c r="DZ94" s="102"/>
      <c r="EA94" s="102">
        <v>8.9</v>
      </c>
    </row>
    <row r="95" spans="1:131" x14ac:dyDescent="0.15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  <c r="CW95" s="102"/>
      <c r="CX95" s="102"/>
      <c r="CY95" s="102"/>
      <c r="CZ95" s="102"/>
      <c r="DA95" s="102"/>
      <c r="DB95" s="102"/>
      <c r="DC95" s="102"/>
      <c r="DD95" s="102"/>
      <c r="DE95" s="102"/>
      <c r="DF95" s="102"/>
      <c r="DG95" s="102"/>
      <c r="DH95" s="102"/>
      <c r="DI95" s="102"/>
      <c r="DJ95" s="102"/>
      <c r="DK95" s="102"/>
      <c r="DL95" s="102"/>
      <c r="DM95" s="102"/>
      <c r="DN95" s="102"/>
      <c r="DO95" s="102"/>
      <c r="DP95" s="102"/>
      <c r="DQ95" s="102"/>
      <c r="DR95" s="102"/>
      <c r="DS95" s="102"/>
      <c r="DT95" s="102"/>
      <c r="DU95" s="102"/>
      <c r="DV95" s="102"/>
      <c r="DW95" s="102"/>
      <c r="DX95" s="104">
        <v>43.5</v>
      </c>
      <c r="DY95" s="102">
        <v>41.499999999999993</v>
      </c>
      <c r="DZ95" s="102"/>
      <c r="EA95" s="102">
        <v>9</v>
      </c>
    </row>
    <row r="96" spans="1:131" x14ac:dyDescent="0.15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  <c r="CW96" s="102"/>
      <c r="CX96" s="102"/>
      <c r="CY96" s="102"/>
      <c r="CZ96" s="102"/>
      <c r="DA96" s="102"/>
      <c r="DB96" s="102"/>
      <c r="DC96" s="102"/>
      <c r="DD96" s="102"/>
      <c r="DE96" s="102"/>
      <c r="DF96" s="102"/>
      <c r="DG96" s="102"/>
      <c r="DH96" s="102"/>
      <c r="DI96" s="102"/>
      <c r="DJ96" s="102"/>
      <c r="DK96" s="102"/>
      <c r="DL96" s="102"/>
      <c r="DM96" s="102"/>
      <c r="DN96" s="102"/>
      <c r="DO96" s="102"/>
      <c r="DP96" s="102"/>
      <c r="DQ96" s="102"/>
      <c r="DR96" s="102"/>
      <c r="DS96" s="102"/>
      <c r="DT96" s="102"/>
      <c r="DU96" s="102"/>
      <c r="DV96" s="102"/>
      <c r="DW96" s="102"/>
      <c r="DX96" s="104">
        <v>44</v>
      </c>
      <c r="DY96" s="102">
        <v>41.399999999999991</v>
      </c>
      <c r="DZ96" s="102"/>
      <c r="EA96" s="102">
        <v>9.1</v>
      </c>
    </row>
    <row r="97" spans="1:131" x14ac:dyDescent="0.15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  <c r="CW97" s="102"/>
      <c r="CX97" s="102"/>
      <c r="CY97" s="102"/>
      <c r="CZ97" s="102"/>
      <c r="DA97" s="102"/>
      <c r="DB97" s="102"/>
      <c r="DC97" s="102"/>
      <c r="DD97" s="102"/>
      <c r="DE97" s="102"/>
      <c r="DF97" s="102"/>
      <c r="DG97" s="102"/>
      <c r="DH97" s="102"/>
      <c r="DI97" s="102"/>
      <c r="DJ97" s="102"/>
      <c r="DK97" s="102"/>
      <c r="DL97" s="102"/>
      <c r="DM97" s="102"/>
      <c r="DN97" s="102"/>
      <c r="DO97" s="102"/>
      <c r="DP97" s="102"/>
      <c r="DQ97" s="102"/>
      <c r="DR97" s="102"/>
      <c r="DS97" s="102"/>
      <c r="DT97" s="102"/>
      <c r="DU97" s="102"/>
      <c r="DV97" s="102"/>
      <c r="DW97" s="102"/>
      <c r="DX97" s="104">
        <v>44.5</v>
      </c>
      <c r="DY97" s="102">
        <v>41.29999999999999</v>
      </c>
      <c r="DZ97" s="102"/>
      <c r="EA97" s="102">
        <v>9.1999999999999993</v>
      </c>
    </row>
    <row r="98" spans="1:131" x14ac:dyDescent="0.15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  <c r="CW98" s="102"/>
      <c r="CX98" s="102"/>
      <c r="CY98" s="102"/>
      <c r="CZ98" s="102"/>
      <c r="DA98" s="102"/>
      <c r="DB98" s="102"/>
      <c r="DC98" s="102"/>
      <c r="DD98" s="102"/>
      <c r="DE98" s="102"/>
      <c r="DF98" s="102"/>
      <c r="DG98" s="102"/>
      <c r="DH98" s="102"/>
      <c r="DI98" s="102"/>
      <c r="DJ98" s="102"/>
      <c r="DK98" s="102"/>
      <c r="DL98" s="102"/>
      <c r="DM98" s="102"/>
      <c r="DN98" s="102"/>
      <c r="DO98" s="102"/>
      <c r="DP98" s="102"/>
      <c r="DQ98" s="102"/>
      <c r="DR98" s="102"/>
      <c r="DS98" s="102"/>
      <c r="DT98" s="102"/>
      <c r="DU98" s="102"/>
      <c r="DV98" s="102"/>
      <c r="DW98" s="102"/>
      <c r="DX98" s="104">
        <v>45</v>
      </c>
      <c r="DY98" s="102">
        <v>41.199999999999989</v>
      </c>
      <c r="DZ98" s="102"/>
      <c r="EA98" s="102">
        <v>9.3000000000000007</v>
      </c>
    </row>
    <row r="99" spans="1:131" x14ac:dyDescent="0.15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  <c r="CW99" s="102"/>
      <c r="CX99" s="102"/>
      <c r="CY99" s="102"/>
      <c r="CZ99" s="102"/>
      <c r="DA99" s="102"/>
      <c r="DB99" s="102"/>
      <c r="DC99" s="102"/>
      <c r="DD99" s="102"/>
      <c r="DE99" s="102"/>
      <c r="DF99" s="102"/>
      <c r="DG99" s="102"/>
      <c r="DH99" s="102"/>
      <c r="DI99" s="102"/>
      <c r="DJ99" s="102"/>
      <c r="DK99" s="102"/>
      <c r="DL99" s="102"/>
      <c r="DM99" s="102"/>
      <c r="DN99" s="102"/>
      <c r="DO99" s="102"/>
      <c r="DP99" s="102"/>
      <c r="DQ99" s="102"/>
      <c r="DR99" s="102"/>
      <c r="DS99" s="102"/>
      <c r="DT99" s="102"/>
      <c r="DU99" s="102"/>
      <c r="DV99" s="102"/>
      <c r="DW99" s="102"/>
      <c r="DX99" s="104">
        <v>45.5</v>
      </c>
      <c r="DY99" s="102">
        <v>41.099999999999987</v>
      </c>
      <c r="DZ99" s="102"/>
      <c r="EA99" s="102">
        <v>9.4</v>
      </c>
    </row>
    <row r="100" spans="1:131" x14ac:dyDescent="0.15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  <c r="CW100" s="102"/>
      <c r="CX100" s="102"/>
      <c r="CY100" s="102"/>
      <c r="CZ100" s="102"/>
      <c r="DA100" s="102"/>
      <c r="DB100" s="102"/>
      <c r="DC100" s="102"/>
      <c r="DD100" s="102"/>
      <c r="DE100" s="102"/>
      <c r="DF100" s="102"/>
      <c r="DG100" s="102"/>
      <c r="DH100" s="102"/>
      <c r="DI100" s="102"/>
      <c r="DJ100" s="102"/>
      <c r="DK100" s="102"/>
      <c r="DL100" s="102"/>
      <c r="DM100" s="102"/>
      <c r="DN100" s="102"/>
      <c r="DO100" s="102"/>
      <c r="DP100" s="102"/>
      <c r="DQ100" s="102"/>
      <c r="DR100" s="102"/>
      <c r="DS100" s="102"/>
      <c r="DT100" s="102"/>
      <c r="DU100" s="102"/>
      <c r="DV100" s="102"/>
      <c r="DW100" s="102"/>
      <c r="DX100" s="104">
        <v>46</v>
      </c>
      <c r="DY100" s="102">
        <v>40.999999999999986</v>
      </c>
      <c r="DZ100" s="102"/>
      <c r="EA100" s="102">
        <v>9.5</v>
      </c>
    </row>
    <row r="101" spans="1:131" x14ac:dyDescent="0.15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2"/>
      <c r="DE101" s="102"/>
      <c r="DF101" s="102"/>
      <c r="DG101" s="102"/>
      <c r="DH101" s="102"/>
      <c r="DI101" s="102"/>
      <c r="DJ101" s="102"/>
      <c r="DK101" s="102"/>
      <c r="DL101" s="102"/>
      <c r="DM101" s="102"/>
      <c r="DN101" s="102"/>
      <c r="DO101" s="102"/>
      <c r="DP101" s="102"/>
      <c r="DQ101" s="102"/>
      <c r="DR101" s="102"/>
      <c r="DS101" s="102"/>
      <c r="DT101" s="102"/>
      <c r="DU101" s="102"/>
      <c r="DV101" s="102"/>
      <c r="DW101" s="102"/>
      <c r="DX101" s="104">
        <v>46.5</v>
      </c>
      <c r="DY101" s="102">
        <v>40.899999999999984</v>
      </c>
      <c r="DZ101" s="102"/>
      <c r="EA101" s="102">
        <v>9.6</v>
      </c>
    </row>
    <row r="102" spans="1:131" x14ac:dyDescent="0.15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  <c r="CW102" s="102"/>
      <c r="CX102" s="102"/>
      <c r="CY102" s="102"/>
      <c r="CZ102" s="102"/>
      <c r="DA102" s="102"/>
      <c r="DB102" s="102"/>
      <c r="DC102" s="102"/>
      <c r="DD102" s="102"/>
      <c r="DE102" s="102"/>
      <c r="DF102" s="102"/>
      <c r="DG102" s="102"/>
      <c r="DH102" s="102"/>
      <c r="DI102" s="102"/>
      <c r="DJ102" s="102"/>
      <c r="DK102" s="102"/>
      <c r="DL102" s="102"/>
      <c r="DM102" s="102"/>
      <c r="DN102" s="102"/>
      <c r="DO102" s="102"/>
      <c r="DP102" s="102"/>
      <c r="DQ102" s="102"/>
      <c r="DR102" s="102"/>
      <c r="DS102" s="102"/>
      <c r="DT102" s="102"/>
      <c r="DU102" s="102"/>
      <c r="DV102" s="102"/>
      <c r="DW102" s="102"/>
      <c r="DX102" s="104">
        <v>47</v>
      </c>
      <c r="DY102" s="102">
        <v>40.799999999999983</v>
      </c>
      <c r="DZ102" s="102"/>
      <c r="EA102" s="102">
        <v>9.6999999999999993</v>
      </c>
    </row>
    <row r="103" spans="1:131" x14ac:dyDescent="0.15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  <c r="CW103" s="102"/>
      <c r="CX103" s="102"/>
      <c r="CY103" s="102"/>
      <c r="CZ103" s="102"/>
      <c r="DA103" s="102"/>
      <c r="DB103" s="102"/>
      <c r="DC103" s="102"/>
      <c r="DD103" s="102"/>
      <c r="DE103" s="102"/>
      <c r="DF103" s="102"/>
      <c r="DG103" s="102"/>
      <c r="DH103" s="102"/>
      <c r="DI103" s="102"/>
      <c r="DJ103" s="102"/>
      <c r="DK103" s="102"/>
      <c r="DL103" s="102"/>
      <c r="DM103" s="102"/>
      <c r="DN103" s="102"/>
      <c r="DO103" s="102"/>
      <c r="DP103" s="102"/>
      <c r="DQ103" s="102"/>
      <c r="DR103" s="102"/>
      <c r="DS103" s="102"/>
      <c r="DT103" s="102"/>
      <c r="DU103" s="102"/>
      <c r="DV103" s="102"/>
      <c r="DW103" s="102"/>
      <c r="DX103" s="104">
        <v>47.5</v>
      </c>
      <c r="DY103" s="102">
        <v>40.699999999999982</v>
      </c>
      <c r="DZ103" s="102"/>
      <c r="EA103" s="102">
        <v>9.8000000000000007</v>
      </c>
    </row>
    <row r="104" spans="1:131" x14ac:dyDescent="0.15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  <c r="CW104" s="102"/>
      <c r="CX104" s="102"/>
      <c r="CY104" s="102"/>
      <c r="CZ104" s="102"/>
      <c r="DA104" s="102"/>
      <c r="DB104" s="102"/>
      <c r="DC104" s="102"/>
      <c r="DD104" s="102"/>
      <c r="DE104" s="102"/>
      <c r="DF104" s="102"/>
      <c r="DG104" s="102"/>
      <c r="DH104" s="102"/>
      <c r="DI104" s="102"/>
      <c r="DJ104" s="102"/>
      <c r="DK104" s="102"/>
      <c r="DL104" s="102"/>
      <c r="DM104" s="102"/>
      <c r="DN104" s="102"/>
      <c r="DO104" s="102"/>
      <c r="DP104" s="102"/>
      <c r="DQ104" s="102"/>
      <c r="DR104" s="102"/>
      <c r="DS104" s="102"/>
      <c r="DT104" s="102"/>
      <c r="DU104" s="102"/>
      <c r="DV104" s="102"/>
      <c r="DW104" s="102"/>
      <c r="DX104" s="104">
        <v>48</v>
      </c>
      <c r="DY104" s="102">
        <v>40.59999999999998</v>
      </c>
      <c r="DZ104" s="102"/>
      <c r="EA104" s="102">
        <v>9.9</v>
      </c>
    </row>
    <row r="105" spans="1:131" x14ac:dyDescent="0.15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  <c r="CW105" s="102"/>
      <c r="CX105" s="102"/>
      <c r="CY105" s="102"/>
      <c r="CZ105" s="102"/>
      <c r="DA105" s="102"/>
      <c r="DB105" s="102"/>
      <c r="DC105" s="102"/>
      <c r="DD105" s="102"/>
      <c r="DE105" s="102"/>
      <c r="DF105" s="102"/>
      <c r="DG105" s="102"/>
      <c r="DH105" s="102"/>
      <c r="DI105" s="102"/>
      <c r="DJ105" s="102"/>
      <c r="DK105" s="102"/>
      <c r="DL105" s="102"/>
      <c r="DM105" s="102"/>
      <c r="DN105" s="102"/>
      <c r="DO105" s="102"/>
      <c r="DP105" s="102"/>
      <c r="DQ105" s="102"/>
      <c r="DR105" s="102"/>
      <c r="DS105" s="102"/>
      <c r="DT105" s="102"/>
      <c r="DU105" s="102"/>
      <c r="DV105" s="102"/>
      <c r="DW105" s="102"/>
      <c r="DX105" s="104">
        <v>48.5</v>
      </c>
      <c r="DY105" s="102">
        <v>40.499999999999979</v>
      </c>
      <c r="DZ105" s="102"/>
      <c r="EA105" s="102">
        <v>10</v>
      </c>
    </row>
    <row r="106" spans="1:131" x14ac:dyDescent="0.15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  <c r="CW106" s="102"/>
      <c r="CX106" s="102"/>
      <c r="CY106" s="102"/>
      <c r="CZ106" s="102"/>
      <c r="DA106" s="102"/>
      <c r="DB106" s="102"/>
      <c r="DC106" s="102"/>
      <c r="DD106" s="10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02"/>
      <c r="DP106" s="102"/>
      <c r="DQ106" s="102"/>
      <c r="DR106" s="102"/>
      <c r="DS106" s="102"/>
      <c r="DT106" s="102"/>
      <c r="DU106" s="102"/>
      <c r="DV106" s="102"/>
      <c r="DW106" s="102"/>
      <c r="DX106" s="104">
        <v>49</v>
      </c>
      <c r="DY106" s="102">
        <v>40.399999999999977</v>
      </c>
      <c r="DZ106" s="102"/>
      <c r="EA106" s="102">
        <v>10.1</v>
      </c>
    </row>
    <row r="107" spans="1:131" x14ac:dyDescent="0.15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02"/>
      <c r="CX107" s="102"/>
      <c r="CY107" s="102"/>
      <c r="CZ107" s="102"/>
      <c r="DA107" s="102"/>
      <c r="DB107" s="102"/>
      <c r="DC107" s="102"/>
      <c r="DD107" s="10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02"/>
      <c r="DP107" s="102"/>
      <c r="DQ107" s="102"/>
      <c r="DR107" s="102"/>
      <c r="DS107" s="102"/>
      <c r="DT107" s="102"/>
      <c r="DU107" s="102"/>
      <c r="DV107" s="102"/>
      <c r="DW107" s="102"/>
      <c r="DX107" s="104">
        <v>49.5</v>
      </c>
      <c r="DY107" s="102">
        <v>40.299999999999976</v>
      </c>
      <c r="DZ107" s="102"/>
      <c r="EA107" s="102">
        <v>10.199999999999999</v>
      </c>
    </row>
    <row r="108" spans="1:131" x14ac:dyDescent="0.15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  <c r="CW108" s="102"/>
      <c r="CX108" s="102"/>
      <c r="CY108" s="102"/>
      <c r="CZ108" s="102"/>
      <c r="DA108" s="102"/>
      <c r="DB108" s="102"/>
      <c r="DC108" s="102"/>
      <c r="DD108" s="102"/>
      <c r="DE108" s="102"/>
      <c r="DF108" s="102"/>
      <c r="DG108" s="102"/>
      <c r="DH108" s="102"/>
      <c r="DI108" s="102"/>
      <c r="DJ108" s="102"/>
      <c r="DK108" s="102"/>
      <c r="DL108" s="102"/>
      <c r="DM108" s="102"/>
      <c r="DN108" s="102"/>
      <c r="DO108" s="102"/>
      <c r="DP108" s="102"/>
      <c r="DQ108" s="102"/>
      <c r="DR108" s="102"/>
      <c r="DS108" s="102"/>
      <c r="DT108" s="102"/>
      <c r="DU108" s="102"/>
      <c r="DV108" s="102"/>
      <c r="DW108" s="102"/>
      <c r="DX108" s="104">
        <v>50</v>
      </c>
      <c r="DY108" s="102">
        <v>40.199999999999974</v>
      </c>
      <c r="DZ108" s="102"/>
      <c r="EA108" s="102">
        <v>10.3</v>
      </c>
    </row>
    <row r="109" spans="1:131" x14ac:dyDescent="0.15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  <c r="CW109" s="102"/>
      <c r="CX109" s="102"/>
      <c r="CY109" s="102"/>
      <c r="CZ109" s="102"/>
      <c r="DA109" s="102"/>
      <c r="DB109" s="102"/>
      <c r="DC109" s="102"/>
      <c r="DD109" s="102"/>
      <c r="DE109" s="102"/>
      <c r="DF109" s="102"/>
      <c r="DG109" s="102"/>
      <c r="DH109" s="102"/>
      <c r="DI109" s="102"/>
      <c r="DJ109" s="102"/>
      <c r="DK109" s="102"/>
      <c r="DL109" s="102"/>
      <c r="DM109" s="102"/>
      <c r="DN109" s="102"/>
      <c r="DO109" s="102"/>
      <c r="DP109" s="102"/>
      <c r="DQ109" s="102"/>
      <c r="DR109" s="102"/>
      <c r="DS109" s="102"/>
      <c r="DT109" s="102"/>
      <c r="DU109" s="102"/>
      <c r="DV109" s="102"/>
      <c r="DW109" s="102"/>
      <c r="DX109" s="104">
        <v>50.5</v>
      </c>
      <c r="DY109" s="102">
        <v>40.099999999999973</v>
      </c>
      <c r="DZ109" s="102"/>
      <c r="EA109" s="102">
        <v>10.4</v>
      </c>
    </row>
    <row r="110" spans="1:131" x14ac:dyDescent="0.15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  <c r="CW110" s="102"/>
      <c r="CX110" s="102"/>
      <c r="CY110" s="102"/>
      <c r="CZ110" s="102"/>
      <c r="DA110" s="102"/>
      <c r="DB110" s="102"/>
      <c r="DC110" s="102"/>
      <c r="DD110" s="102"/>
      <c r="DE110" s="102"/>
      <c r="DF110" s="102"/>
      <c r="DG110" s="102"/>
      <c r="DH110" s="102"/>
      <c r="DI110" s="102"/>
      <c r="DJ110" s="102"/>
      <c r="DK110" s="102"/>
      <c r="DL110" s="102"/>
      <c r="DM110" s="102"/>
      <c r="DN110" s="102"/>
      <c r="DO110" s="102"/>
      <c r="DP110" s="102"/>
      <c r="DQ110" s="102"/>
      <c r="DR110" s="102"/>
      <c r="DS110" s="102"/>
      <c r="DT110" s="102"/>
      <c r="DU110" s="102"/>
      <c r="DV110" s="102"/>
      <c r="DW110" s="102"/>
      <c r="DX110" s="104">
        <v>51</v>
      </c>
      <c r="DY110" s="102">
        <v>39.999999999999972</v>
      </c>
      <c r="DZ110" s="102"/>
      <c r="EA110" s="102">
        <v>10.5</v>
      </c>
    </row>
    <row r="111" spans="1:131" x14ac:dyDescent="0.15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  <c r="CW111" s="102"/>
      <c r="CX111" s="102"/>
      <c r="CY111" s="102"/>
      <c r="CZ111" s="102"/>
      <c r="DA111" s="102"/>
      <c r="DB111" s="102"/>
      <c r="DC111" s="102"/>
      <c r="DD111" s="102"/>
      <c r="DE111" s="102"/>
      <c r="DF111" s="102"/>
      <c r="DG111" s="102"/>
      <c r="DH111" s="102"/>
      <c r="DI111" s="102"/>
      <c r="DJ111" s="102"/>
      <c r="DK111" s="102"/>
      <c r="DL111" s="102"/>
      <c r="DM111" s="102"/>
      <c r="DN111" s="102"/>
      <c r="DO111" s="102"/>
      <c r="DP111" s="102"/>
      <c r="DQ111" s="102"/>
      <c r="DR111" s="102"/>
      <c r="DS111" s="102"/>
      <c r="DT111" s="102"/>
      <c r="DU111" s="102"/>
      <c r="DV111" s="102"/>
      <c r="DW111" s="102"/>
      <c r="DX111" s="104">
        <v>51.5</v>
      </c>
      <c r="DY111" s="102">
        <v>39.89999999999997</v>
      </c>
      <c r="DZ111" s="102"/>
      <c r="EA111" s="102">
        <v>10.6</v>
      </c>
    </row>
    <row r="112" spans="1:131" x14ac:dyDescent="0.15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  <c r="CW112" s="102"/>
      <c r="CX112" s="102"/>
      <c r="CY112" s="102"/>
      <c r="CZ112" s="102"/>
      <c r="DA112" s="102"/>
      <c r="DB112" s="102"/>
      <c r="DC112" s="102"/>
      <c r="DD112" s="102"/>
      <c r="DE112" s="102"/>
      <c r="DF112" s="102"/>
      <c r="DG112" s="102"/>
      <c r="DH112" s="102"/>
      <c r="DI112" s="102"/>
      <c r="DJ112" s="102"/>
      <c r="DK112" s="102"/>
      <c r="DL112" s="102"/>
      <c r="DM112" s="102"/>
      <c r="DN112" s="102"/>
      <c r="DO112" s="102"/>
      <c r="DP112" s="102"/>
      <c r="DQ112" s="102"/>
      <c r="DR112" s="102"/>
      <c r="DS112" s="102"/>
      <c r="DT112" s="102"/>
      <c r="DU112" s="102"/>
      <c r="DV112" s="102"/>
      <c r="DW112" s="102"/>
      <c r="DX112" s="104">
        <v>52</v>
      </c>
      <c r="DY112" s="102">
        <v>39.799999999999969</v>
      </c>
      <c r="DZ112" s="102"/>
      <c r="EA112" s="102">
        <v>10.7</v>
      </c>
    </row>
    <row r="113" spans="1:131" x14ac:dyDescent="0.1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  <c r="CW113" s="102"/>
      <c r="CX113" s="102"/>
      <c r="CY113" s="102"/>
      <c r="CZ113" s="102"/>
      <c r="DA113" s="102"/>
      <c r="DB113" s="102"/>
      <c r="DC113" s="102"/>
      <c r="DD113" s="102"/>
      <c r="DE113" s="102"/>
      <c r="DF113" s="102"/>
      <c r="DG113" s="102"/>
      <c r="DH113" s="102"/>
      <c r="DI113" s="102"/>
      <c r="DJ113" s="102"/>
      <c r="DK113" s="102"/>
      <c r="DL113" s="102"/>
      <c r="DM113" s="102"/>
      <c r="DN113" s="102"/>
      <c r="DO113" s="102"/>
      <c r="DP113" s="102"/>
      <c r="DQ113" s="102"/>
      <c r="DR113" s="102"/>
      <c r="DS113" s="102"/>
      <c r="DT113" s="102"/>
      <c r="DU113" s="102"/>
      <c r="DV113" s="102"/>
      <c r="DW113" s="102"/>
      <c r="DX113" s="104">
        <v>52.5</v>
      </c>
      <c r="DY113" s="102">
        <v>39.699999999999967</v>
      </c>
      <c r="DZ113" s="102"/>
      <c r="EA113" s="102">
        <v>10.8</v>
      </c>
    </row>
    <row r="114" spans="1:131" x14ac:dyDescent="0.15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  <c r="CW114" s="102"/>
      <c r="CX114" s="102"/>
      <c r="CY114" s="102"/>
      <c r="CZ114" s="102"/>
      <c r="DA114" s="102"/>
      <c r="DB114" s="102"/>
      <c r="DC114" s="102"/>
      <c r="DD114" s="102"/>
      <c r="DE114" s="102"/>
      <c r="DF114" s="102"/>
      <c r="DG114" s="102"/>
      <c r="DH114" s="102"/>
      <c r="DI114" s="102"/>
      <c r="DJ114" s="102"/>
      <c r="DK114" s="102"/>
      <c r="DL114" s="102"/>
      <c r="DM114" s="102"/>
      <c r="DN114" s="102"/>
      <c r="DO114" s="102"/>
      <c r="DP114" s="102"/>
      <c r="DQ114" s="102"/>
      <c r="DR114" s="102"/>
      <c r="DS114" s="102"/>
      <c r="DT114" s="102"/>
      <c r="DU114" s="102"/>
      <c r="DV114" s="102"/>
      <c r="DW114" s="102"/>
      <c r="DX114" s="104">
        <v>53</v>
      </c>
      <c r="DY114" s="102">
        <v>39.599999999999966</v>
      </c>
      <c r="DZ114" s="102"/>
      <c r="EA114" s="102">
        <v>10.9</v>
      </c>
    </row>
    <row r="115" spans="1:131" x14ac:dyDescent="0.15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  <c r="CW115" s="102"/>
      <c r="CX115" s="102"/>
      <c r="CY115" s="102"/>
      <c r="CZ115" s="102"/>
      <c r="DA115" s="102"/>
      <c r="DB115" s="102"/>
      <c r="DC115" s="102"/>
      <c r="DD115" s="102"/>
      <c r="DE115" s="102"/>
      <c r="DF115" s="102"/>
      <c r="DG115" s="102"/>
      <c r="DH115" s="102"/>
      <c r="DI115" s="102"/>
      <c r="DJ115" s="102"/>
      <c r="DK115" s="102"/>
      <c r="DL115" s="102"/>
      <c r="DM115" s="102"/>
      <c r="DN115" s="102"/>
      <c r="DO115" s="102"/>
      <c r="DP115" s="102"/>
      <c r="DQ115" s="102"/>
      <c r="DR115" s="102"/>
      <c r="DS115" s="102"/>
      <c r="DT115" s="102"/>
      <c r="DU115" s="102"/>
      <c r="DV115" s="102"/>
      <c r="DW115" s="102"/>
      <c r="DX115" s="104">
        <v>53.5</v>
      </c>
      <c r="DY115" s="102">
        <v>39.499999999999964</v>
      </c>
      <c r="DZ115" s="102"/>
      <c r="EA115" s="102">
        <v>11</v>
      </c>
    </row>
    <row r="116" spans="1:131" x14ac:dyDescent="0.15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  <c r="CW116" s="102"/>
      <c r="CX116" s="102"/>
      <c r="CY116" s="102"/>
      <c r="CZ116" s="102"/>
      <c r="DA116" s="102"/>
      <c r="DB116" s="102"/>
      <c r="DC116" s="102"/>
      <c r="DD116" s="102"/>
      <c r="DE116" s="102"/>
      <c r="DF116" s="102"/>
      <c r="DG116" s="102"/>
      <c r="DH116" s="102"/>
      <c r="DI116" s="102"/>
      <c r="DJ116" s="102"/>
      <c r="DK116" s="102"/>
      <c r="DL116" s="102"/>
      <c r="DM116" s="102"/>
      <c r="DN116" s="102"/>
      <c r="DO116" s="102"/>
      <c r="DP116" s="102"/>
      <c r="DQ116" s="102"/>
      <c r="DR116" s="102"/>
      <c r="DS116" s="102"/>
      <c r="DT116" s="102"/>
      <c r="DU116" s="102"/>
      <c r="DV116" s="102"/>
      <c r="DW116" s="102"/>
      <c r="DX116" s="104">
        <v>54</v>
      </c>
      <c r="DY116" s="102">
        <v>39.399999999999963</v>
      </c>
      <c r="DZ116" s="102"/>
      <c r="EA116" s="102">
        <v>11.1</v>
      </c>
    </row>
    <row r="117" spans="1:131" x14ac:dyDescent="0.15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  <c r="CW117" s="102"/>
      <c r="CX117" s="102"/>
      <c r="CY117" s="102"/>
      <c r="CZ117" s="102"/>
      <c r="DA117" s="102"/>
      <c r="DB117" s="102"/>
      <c r="DC117" s="102"/>
      <c r="DD117" s="102"/>
      <c r="DE117" s="102"/>
      <c r="DF117" s="102"/>
      <c r="DG117" s="102"/>
      <c r="DH117" s="102"/>
      <c r="DI117" s="102"/>
      <c r="DJ117" s="102"/>
      <c r="DK117" s="102"/>
      <c r="DL117" s="102"/>
      <c r="DM117" s="102"/>
      <c r="DN117" s="102"/>
      <c r="DO117" s="102"/>
      <c r="DP117" s="102"/>
      <c r="DQ117" s="102"/>
      <c r="DR117" s="102"/>
      <c r="DS117" s="102"/>
      <c r="DT117" s="102"/>
      <c r="DU117" s="102"/>
      <c r="DV117" s="102"/>
      <c r="DW117" s="102"/>
      <c r="DX117" s="104">
        <v>54.5</v>
      </c>
      <c r="DY117" s="102">
        <v>39.299999999999962</v>
      </c>
      <c r="DZ117" s="102"/>
      <c r="EA117" s="102">
        <v>11.2</v>
      </c>
    </row>
    <row r="118" spans="1:131" x14ac:dyDescent="0.15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  <c r="CW118" s="102"/>
      <c r="CX118" s="102"/>
      <c r="CY118" s="102"/>
      <c r="CZ118" s="102"/>
      <c r="DA118" s="102"/>
      <c r="DB118" s="102"/>
      <c r="DC118" s="102"/>
      <c r="DD118" s="102"/>
      <c r="DE118" s="102"/>
      <c r="DF118" s="102"/>
      <c r="DG118" s="102"/>
      <c r="DH118" s="102"/>
      <c r="DI118" s="102"/>
      <c r="DJ118" s="102"/>
      <c r="DK118" s="102"/>
      <c r="DL118" s="102"/>
      <c r="DM118" s="102"/>
      <c r="DN118" s="102"/>
      <c r="DO118" s="102"/>
      <c r="DP118" s="102"/>
      <c r="DQ118" s="102"/>
      <c r="DR118" s="102"/>
      <c r="DS118" s="102"/>
      <c r="DT118" s="102"/>
      <c r="DU118" s="102"/>
      <c r="DV118" s="102"/>
      <c r="DW118" s="102"/>
      <c r="DX118" s="104">
        <v>55</v>
      </c>
      <c r="DY118" s="102">
        <v>39.19999999999996</v>
      </c>
      <c r="DZ118" s="102"/>
      <c r="EA118" s="102">
        <v>11.3</v>
      </c>
    </row>
    <row r="119" spans="1:131" x14ac:dyDescent="0.15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  <c r="CW119" s="102"/>
      <c r="CX119" s="102"/>
      <c r="CY119" s="102"/>
      <c r="CZ119" s="102"/>
      <c r="DA119" s="102"/>
      <c r="DB119" s="102"/>
      <c r="DC119" s="102"/>
      <c r="DD119" s="102"/>
      <c r="DE119" s="102"/>
      <c r="DF119" s="102"/>
      <c r="DG119" s="102"/>
      <c r="DH119" s="102"/>
      <c r="DI119" s="102"/>
      <c r="DJ119" s="102"/>
      <c r="DK119" s="102"/>
      <c r="DL119" s="102"/>
      <c r="DM119" s="102"/>
      <c r="DN119" s="102"/>
      <c r="DO119" s="102"/>
      <c r="DP119" s="102"/>
      <c r="DQ119" s="102"/>
      <c r="DR119" s="102"/>
      <c r="DS119" s="102"/>
      <c r="DT119" s="102"/>
      <c r="DU119" s="102"/>
      <c r="DV119" s="102"/>
      <c r="DW119" s="102"/>
      <c r="DX119" s="104">
        <v>55.5</v>
      </c>
      <c r="DY119" s="102">
        <v>39.099999999999959</v>
      </c>
      <c r="DZ119" s="102"/>
      <c r="EA119" s="102">
        <v>11.4</v>
      </c>
    </row>
    <row r="120" spans="1:131" x14ac:dyDescent="0.1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  <c r="CW120" s="102"/>
      <c r="CX120" s="102"/>
      <c r="CY120" s="102"/>
      <c r="CZ120" s="102"/>
      <c r="DA120" s="102"/>
      <c r="DB120" s="102"/>
      <c r="DC120" s="102"/>
      <c r="DD120" s="102"/>
      <c r="DE120" s="102"/>
      <c r="DF120" s="102"/>
      <c r="DG120" s="102"/>
      <c r="DH120" s="102"/>
      <c r="DI120" s="102"/>
      <c r="DJ120" s="102"/>
      <c r="DK120" s="102"/>
      <c r="DL120" s="102"/>
      <c r="DM120" s="102"/>
      <c r="DN120" s="102"/>
      <c r="DO120" s="102"/>
      <c r="DP120" s="102"/>
      <c r="DQ120" s="102"/>
      <c r="DR120" s="102"/>
      <c r="DS120" s="102"/>
      <c r="DT120" s="102"/>
      <c r="DU120" s="102"/>
      <c r="DV120" s="102"/>
      <c r="DW120" s="102"/>
      <c r="DX120" s="104">
        <v>56</v>
      </c>
      <c r="DY120" s="102">
        <v>38.999999999999957</v>
      </c>
      <c r="DZ120" s="102"/>
      <c r="EA120" s="102">
        <v>11.5</v>
      </c>
    </row>
    <row r="121" spans="1:131" x14ac:dyDescent="0.1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  <c r="CW121" s="102"/>
      <c r="CX121" s="102"/>
      <c r="CY121" s="102"/>
      <c r="CZ121" s="102"/>
      <c r="DA121" s="102"/>
      <c r="DB121" s="102"/>
      <c r="DC121" s="102"/>
      <c r="DD121" s="102"/>
      <c r="DE121" s="102"/>
      <c r="DF121" s="102"/>
      <c r="DG121" s="102"/>
      <c r="DH121" s="102"/>
      <c r="DI121" s="102"/>
      <c r="DJ121" s="102"/>
      <c r="DK121" s="102"/>
      <c r="DL121" s="102"/>
      <c r="DM121" s="102"/>
      <c r="DN121" s="102"/>
      <c r="DO121" s="102"/>
      <c r="DP121" s="102"/>
      <c r="DQ121" s="102"/>
      <c r="DR121" s="102"/>
      <c r="DS121" s="102"/>
      <c r="DT121" s="102"/>
      <c r="DU121" s="102"/>
      <c r="DV121" s="102"/>
      <c r="DW121" s="102"/>
      <c r="DX121" s="103">
        <v>56.5</v>
      </c>
      <c r="DY121" s="102">
        <v>38.899999999999956</v>
      </c>
      <c r="DZ121" s="102"/>
      <c r="EA121" s="102">
        <v>11.6</v>
      </c>
    </row>
    <row r="122" spans="1:131" x14ac:dyDescent="0.15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  <c r="CW122" s="102"/>
      <c r="CX122" s="102"/>
      <c r="CY122" s="102"/>
      <c r="CZ122" s="102"/>
      <c r="DA122" s="102"/>
      <c r="DB122" s="102"/>
      <c r="DC122" s="102"/>
      <c r="DD122" s="102"/>
      <c r="DE122" s="102"/>
      <c r="DF122" s="102"/>
      <c r="DG122" s="102"/>
      <c r="DH122" s="102"/>
      <c r="DI122" s="102"/>
      <c r="DJ122" s="102"/>
      <c r="DK122" s="102"/>
      <c r="DL122" s="102"/>
      <c r="DM122" s="102"/>
      <c r="DN122" s="102"/>
      <c r="DO122" s="102"/>
      <c r="DP122" s="102"/>
      <c r="DQ122" s="102"/>
      <c r="DR122" s="102"/>
      <c r="DS122" s="102"/>
      <c r="DT122" s="102"/>
      <c r="DU122" s="102"/>
      <c r="DV122" s="102"/>
      <c r="DW122" s="102"/>
      <c r="DX122" s="103">
        <v>57</v>
      </c>
      <c r="DY122" s="102">
        <v>38.799999999999955</v>
      </c>
      <c r="DZ122" s="102"/>
      <c r="EA122" s="102">
        <v>11.7</v>
      </c>
    </row>
    <row r="123" spans="1:131" x14ac:dyDescent="0.15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  <c r="CW123" s="102"/>
      <c r="CX123" s="102"/>
      <c r="CY123" s="102"/>
      <c r="CZ123" s="102"/>
      <c r="DA123" s="102"/>
      <c r="DB123" s="102"/>
      <c r="DC123" s="102"/>
      <c r="DD123" s="102"/>
      <c r="DE123" s="102"/>
      <c r="DF123" s="102"/>
      <c r="DG123" s="102"/>
      <c r="DH123" s="102"/>
      <c r="DI123" s="102"/>
      <c r="DJ123" s="102"/>
      <c r="DK123" s="102"/>
      <c r="DL123" s="102"/>
      <c r="DM123" s="102"/>
      <c r="DN123" s="102"/>
      <c r="DO123" s="102"/>
      <c r="DP123" s="102"/>
      <c r="DQ123" s="102"/>
      <c r="DR123" s="102"/>
      <c r="DS123" s="102"/>
      <c r="DT123" s="102"/>
      <c r="DU123" s="102"/>
      <c r="DV123" s="102"/>
      <c r="DW123" s="102"/>
      <c r="DX123" s="103">
        <v>57.5</v>
      </c>
      <c r="DY123" s="102">
        <v>38.699999999999953</v>
      </c>
      <c r="DZ123" s="102"/>
      <c r="EA123" s="102">
        <v>11.8</v>
      </c>
    </row>
    <row r="124" spans="1:131" x14ac:dyDescent="0.15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  <c r="CW124" s="102"/>
      <c r="CX124" s="102"/>
      <c r="CY124" s="102"/>
      <c r="CZ124" s="102"/>
      <c r="DA124" s="102"/>
      <c r="DB124" s="102"/>
      <c r="DC124" s="102"/>
      <c r="DD124" s="102"/>
      <c r="DE124" s="102"/>
      <c r="DF124" s="102"/>
      <c r="DG124" s="102"/>
      <c r="DH124" s="102"/>
      <c r="DI124" s="102"/>
      <c r="DJ124" s="102"/>
      <c r="DK124" s="102"/>
      <c r="DL124" s="102"/>
      <c r="DM124" s="102"/>
      <c r="DN124" s="102"/>
      <c r="DO124" s="102"/>
      <c r="DP124" s="102"/>
      <c r="DQ124" s="102"/>
      <c r="DR124" s="102"/>
      <c r="DS124" s="102"/>
      <c r="DT124" s="102"/>
      <c r="DU124" s="102"/>
      <c r="DV124" s="102"/>
      <c r="DW124" s="102"/>
      <c r="DX124" s="103">
        <v>58</v>
      </c>
      <c r="DY124" s="102">
        <v>38.599999999999952</v>
      </c>
      <c r="DZ124" s="102"/>
      <c r="EA124" s="102">
        <v>11.9</v>
      </c>
    </row>
    <row r="125" spans="1:131" x14ac:dyDescent="0.15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  <c r="CW125" s="102"/>
      <c r="CX125" s="102"/>
      <c r="CY125" s="102"/>
      <c r="CZ125" s="102"/>
      <c r="DA125" s="102"/>
      <c r="DB125" s="102"/>
      <c r="DC125" s="102"/>
      <c r="DD125" s="102"/>
      <c r="DE125" s="102"/>
      <c r="DF125" s="102"/>
      <c r="DG125" s="102"/>
      <c r="DH125" s="102"/>
      <c r="DI125" s="102"/>
      <c r="DJ125" s="102"/>
      <c r="DK125" s="102"/>
      <c r="DL125" s="102"/>
      <c r="DM125" s="102"/>
      <c r="DN125" s="102"/>
      <c r="DO125" s="102"/>
      <c r="DP125" s="102"/>
      <c r="DQ125" s="102"/>
      <c r="DR125" s="102"/>
      <c r="DS125" s="102"/>
      <c r="DT125" s="102"/>
      <c r="DU125" s="102"/>
      <c r="DV125" s="102"/>
      <c r="DW125" s="102"/>
      <c r="DX125" s="103">
        <v>58.5</v>
      </c>
      <c r="DY125" s="102">
        <v>38.49999999999995</v>
      </c>
      <c r="DZ125" s="102"/>
      <c r="EA125" s="102">
        <v>12</v>
      </c>
    </row>
    <row r="126" spans="1:131" x14ac:dyDescent="0.1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  <c r="CW126" s="102"/>
      <c r="CX126" s="102"/>
      <c r="CY126" s="102"/>
      <c r="CZ126" s="102"/>
      <c r="DA126" s="102"/>
      <c r="DB126" s="102"/>
      <c r="DC126" s="102"/>
      <c r="DD126" s="102"/>
      <c r="DE126" s="102"/>
      <c r="DF126" s="102"/>
      <c r="DG126" s="102"/>
      <c r="DH126" s="102"/>
      <c r="DI126" s="102"/>
      <c r="DJ126" s="102"/>
      <c r="DK126" s="102"/>
      <c r="DL126" s="102"/>
      <c r="DM126" s="102"/>
      <c r="DN126" s="102"/>
      <c r="DO126" s="102"/>
      <c r="DP126" s="102"/>
      <c r="DQ126" s="102"/>
      <c r="DR126" s="102"/>
      <c r="DS126" s="102"/>
      <c r="DT126" s="102"/>
      <c r="DU126" s="102"/>
      <c r="DV126" s="102"/>
      <c r="DW126" s="102"/>
      <c r="DX126" s="103">
        <v>59</v>
      </c>
      <c r="DY126" s="102">
        <v>38.4</v>
      </c>
      <c r="DZ126" s="102"/>
      <c r="EA126" s="102">
        <v>12.1</v>
      </c>
    </row>
    <row r="127" spans="1:131" x14ac:dyDescent="0.1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  <c r="CW127" s="102"/>
      <c r="CX127" s="102"/>
      <c r="CY127" s="102"/>
      <c r="CZ127" s="102"/>
      <c r="DA127" s="102"/>
      <c r="DB127" s="102"/>
      <c r="DC127" s="102"/>
      <c r="DD127" s="102"/>
      <c r="DE127" s="102"/>
      <c r="DF127" s="102"/>
      <c r="DG127" s="102"/>
      <c r="DH127" s="102"/>
      <c r="DI127" s="102"/>
      <c r="DJ127" s="102"/>
      <c r="DK127" s="102"/>
      <c r="DL127" s="102"/>
      <c r="DM127" s="102"/>
      <c r="DN127" s="102"/>
      <c r="DO127" s="102"/>
      <c r="DP127" s="102"/>
      <c r="DQ127" s="102"/>
      <c r="DR127" s="102"/>
      <c r="DS127" s="102"/>
      <c r="DT127" s="102"/>
      <c r="DU127" s="102"/>
      <c r="DV127" s="102"/>
      <c r="DW127" s="102"/>
      <c r="DX127" s="103">
        <v>59.5</v>
      </c>
      <c r="DY127" s="102">
        <v>38.299999999999997</v>
      </c>
      <c r="DZ127" s="102"/>
      <c r="EA127" s="102">
        <v>12.2</v>
      </c>
    </row>
    <row r="128" spans="1:131" x14ac:dyDescent="0.1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  <c r="CW128" s="102"/>
      <c r="CX128" s="102"/>
      <c r="CY128" s="102"/>
      <c r="CZ128" s="102"/>
      <c r="DA128" s="102"/>
      <c r="DB128" s="102"/>
      <c r="DC128" s="102"/>
      <c r="DD128" s="102"/>
      <c r="DE128" s="102"/>
      <c r="DF128" s="102"/>
      <c r="DG128" s="102"/>
      <c r="DH128" s="102"/>
      <c r="DI128" s="102"/>
      <c r="DJ128" s="102"/>
      <c r="DK128" s="102"/>
      <c r="DL128" s="102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3">
        <v>60</v>
      </c>
      <c r="DY128" s="102">
        <v>38.199999999999996</v>
      </c>
      <c r="DZ128" s="102"/>
      <c r="EA128" s="102">
        <v>12.3</v>
      </c>
    </row>
    <row r="129" spans="1:131" x14ac:dyDescent="0.1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  <c r="CW129" s="102"/>
      <c r="CX129" s="102"/>
      <c r="CY129" s="102"/>
      <c r="CZ129" s="102"/>
      <c r="DA129" s="102"/>
      <c r="DB129" s="102"/>
      <c r="DC129" s="102"/>
      <c r="DD129" s="102"/>
      <c r="DE129" s="102"/>
      <c r="DF129" s="102"/>
      <c r="DG129" s="102"/>
      <c r="DH129" s="102"/>
      <c r="DI129" s="102"/>
      <c r="DJ129" s="102"/>
      <c r="DK129" s="102"/>
      <c r="DL129" s="102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3">
        <v>60.5</v>
      </c>
      <c r="DY129" s="102">
        <v>38.099999999999994</v>
      </c>
      <c r="DZ129" s="102"/>
      <c r="EA129" s="102">
        <v>12.4</v>
      </c>
    </row>
    <row r="130" spans="1:131" x14ac:dyDescent="0.1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  <c r="CW130" s="102"/>
      <c r="CX130" s="102"/>
      <c r="CY130" s="102"/>
      <c r="CZ130" s="102"/>
      <c r="DA130" s="102"/>
      <c r="DB130" s="102"/>
      <c r="DC130" s="102"/>
      <c r="DD130" s="102"/>
      <c r="DE130" s="102"/>
      <c r="DF130" s="102"/>
      <c r="DG130" s="102"/>
      <c r="DH130" s="102"/>
      <c r="DI130" s="102"/>
      <c r="DJ130" s="102"/>
      <c r="DK130" s="102"/>
      <c r="DL130" s="102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3">
        <v>61</v>
      </c>
      <c r="DY130" s="102">
        <v>37.999999999999993</v>
      </c>
      <c r="DZ130" s="102"/>
      <c r="EA130" s="102">
        <v>12.5</v>
      </c>
    </row>
    <row r="131" spans="1:131" x14ac:dyDescent="0.1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  <c r="CW131" s="102"/>
      <c r="CX131" s="102"/>
      <c r="CY131" s="102"/>
      <c r="CZ131" s="102"/>
      <c r="DA131" s="102"/>
      <c r="DB131" s="102"/>
      <c r="DC131" s="102"/>
      <c r="DD131" s="102"/>
      <c r="DE131" s="102"/>
      <c r="DF131" s="102"/>
      <c r="DG131" s="102"/>
      <c r="DH131" s="102"/>
      <c r="DI131" s="102"/>
      <c r="DJ131" s="102"/>
      <c r="DK131" s="102"/>
      <c r="DL131" s="102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3">
        <v>61.5</v>
      </c>
      <c r="DY131" s="102">
        <v>37.899999999999991</v>
      </c>
      <c r="DZ131" s="102"/>
      <c r="EA131" s="102">
        <v>12.6</v>
      </c>
    </row>
    <row r="132" spans="1:131" x14ac:dyDescent="0.1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  <c r="CW132" s="102"/>
      <c r="CX132" s="102"/>
      <c r="CY132" s="102"/>
      <c r="CZ132" s="102"/>
      <c r="DA132" s="102"/>
      <c r="DB132" s="102"/>
      <c r="DC132" s="102"/>
      <c r="DD132" s="102"/>
      <c r="DE132" s="102"/>
      <c r="DF132" s="102"/>
      <c r="DG132" s="102"/>
      <c r="DH132" s="102"/>
      <c r="DI132" s="102"/>
      <c r="DJ132" s="102"/>
      <c r="DK132" s="102"/>
      <c r="DL132" s="102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3">
        <v>62</v>
      </c>
      <c r="DY132" s="102">
        <v>37.79999999999999</v>
      </c>
      <c r="DZ132" s="102"/>
      <c r="EA132" s="102">
        <v>12.7</v>
      </c>
    </row>
    <row r="133" spans="1:131" x14ac:dyDescent="0.1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  <c r="CW133" s="102"/>
      <c r="CX133" s="102"/>
      <c r="CY133" s="102"/>
      <c r="CZ133" s="102"/>
      <c r="DA133" s="102"/>
      <c r="DB133" s="102"/>
      <c r="DC133" s="102"/>
      <c r="DD133" s="102"/>
      <c r="DE133" s="102"/>
      <c r="DF133" s="102"/>
      <c r="DG133" s="102"/>
      <c r="DH133" s="102"/>
      <c r="DI133" s="102"/>
      <c r="DJ133" s="102"/>
      <c r="DK133" s="102"/>
      <c r="DL133" s="102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3">
        <v>62.5</v>
      </c>
      <c r="DY133" s="102">
        <v>37.699999999999989</v>
      </c>
      <c r="DZ133" s="102"/>
      <c r="EA133" s="102">
        <v>12.8</v>
      </c>
    </row>
    <row r="134" spans="1:131" x14ac:dyDescent="0.1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/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102"/>
      <c r="DI134" s="102"/>
      <c r="DJ134" s="102"/>
      <c r="DK134" s="102"/>
      <c r="DL134" s="102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3">
        <v>63</v>
      </c>
      <c r="DY134" s="102">
        <v>37.599999999999987</v>
      </c>
      <c r="DZ134" s="102"/>
      <c r="EA134" s="102">
        <v>12.9</v>
      </c>
    </row>
    <row r="135" spans="1:131" x14ac:dyDescent="0.1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  <c r="CW135" s="102"/>
      <c r="CX135" s="102"/>
      <c r="CY135" s="102"/>
      <c r="CZ135" s="102"/>
      <c r="DA135" s="102"/>
      <c r="DB135" s="102"/>
      <c r="DC135" s="102"/>
      <c r="DD135" s="102"/>
      <c r="DE135" s="102"/>
      <c r="DF135" s="102"/>
      <c r="DG135" s="102"/>
      <c r="DH135" s="102"/>
      <c r="DI135" s="102"/>
      <c r="DJ135" s="102"/>
      <c r="DK135" s="102"/>
      <c r="DL135" s="102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3">
        <v>63.5</v>
      </c>
      <c r="DY135" s="102">
        <v>37.499999999999986</v>
      </c>
      <c r="DZ135" s="102"/>
      <c r="EA135" s="102">
        <v>13</v>
      </c>
    </row>
    <row r="136" spans="1:131" x14ac:dyDescent="0.1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  <c r="CW136" s="102"/>
      <c r="CX136" s="102"/>
      <c r="CY136" s="102"/>
      <c r="CZ136" s="102"/>
      <c r="DA136" s="102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3">
        <v>64</v>
      </c>
      <c r="DY136" s="102">
        <v>37.399999999999984</v>
      </c>
      <c r="DZ136" s="102"/>
      <c r="EA136" s="102">
        <v>13.1</v>
      </c>
    </row>
    <row r="137" spans="1:131" x14ac:dyDescent="0.1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  <c r="CW137" s="102"/>
      <c r="CX137" s="102"/>
      <c r="CY137" s="102"/>
      <c r="CZ137" s="102"/>
      <c r="DA137" s="102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3">
        <v>64.5</v>
      </c>
      <c r="DY137" s="102">
        <v>37.299999999999983</v>
      </c>
      <c r="DZ137" s="102"/>
      <c r="EA137" s="102">
        <v>13.2</v>
      </c>
    </row>
    <row r="138" spans="1:131" x14ac:dyDescent="0.1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  <c r="CW138" s="102"/>
      <c r="CX138" s="102"/>
      <c r="CY138" s="102"/>
      <c r="CZ138" s="102"/>
      <c r="DA138" s="102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3">
        <v>65</v>
      </c>
      <c r="DY138" s="102">
        <v>37.199999999999982</v>
      </c>
      <c r="DZ138" s="102"/>
      <c r="EA138" s="102">
        <v>13.3</v>
      </c>
    </row>
    <row r="139" spans="1:131" x14ac:dyDescent="0.1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  <c r="CW139" s="102"/>
      <c r="CX139" s="102"/>
      <c r="CY139" s="102"/>
      <c r="CZ139" s="102"/>
      <c r="DA139" s="102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3">
        <v>65.5</v>
      </c>
      <c r="DY139" s="102">
        <v>37.09999999999998</v>
      </c>
      <c r="DZ139" s="102"/>
      <c r="EA139" s="102">
        <v>13.4</v>
      </c>
    </row>
    <row r="140" spans="1:131" x14ac:dyDescent="0.1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  <c r="CW140" s="102"/>
      <c r="CX140" s="102"/>
      <c r="CY140" s="102"/>
      <c r="CZ140" s="102"/>
      <c r="DA140" s="102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3">
        <v>66</v>
      </c>
      <c r="DY140" s="102">
        <v>36.999999999999979</v>
      </c>
      <c r="DZ140" s="102"/>
      <c r="EA140" s="102">
        <v>13.5</v>
      </c>
    </row>
    <row r="141" spans="1:131" x14ac:dyDescent="0.1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  <c r="CW141" s="102"/>
      <c r="CX141" s="102"/>
      <c r="CY141" s="102"/>
      <c r="CZ141" s="102"/>
      <c r="DA141" s="10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3">
        <v>66.5</v>
      </c>
      <c r="DY141" s="102">
        <v>36.899999999999977</v>
      </c>
      <c r="DZ141" s="102"/>
      <c r="EA141" s="102">
        <v>13.6</v>
      </c>
    </row>
    <row r="142" spans="1:131" x14ac:dyDescent="0.1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  <c r="CW142" s="102"/>
      <c r="CX142" s="102"/>
      <c r="CY142" s="102"/>
      <c r="CZ142" s="102"/>
      <c r="DA142" s="1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3">
        <v>67</v>
      </c>
      <c r="DY142" s="102">
        <v>36.799999999999976</v>
      </c>
      <c r="DZ142" s="102"/>
      <c r="EA142" s="102">
        <v>13.7</v>
      </c>
    </row>
    <row r="143" spans="1:131" x14ac:dyDescent="0.15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  <c r="CW143" s="102"/>
      <c r="CX143" s="102"/>
      <c r="CY143" s="102"/>
      <c r="CZ143" s="102"/>
      <c r="DA143" s="10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3">
        <v>67.5</v>
      </c>
      <c r="DY143" s="102">
        <v>36.699999999999974</v>
      </c>
      <c r="DZ143" s="102"/>
      <c r="EA143" s="102">
        <v>13.8</v>
      </c>
    </row>
    <row r="144" spans="1:131" x14ac:dyDescent="0.1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  <c r="CW144" s="102"/>
      <c r="CX144" s="102"/>
      <c r="CY144" s="102"/>
      <c r="CZ144" s="102"/>
      <c r="DA144" s="10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3">
        <v>68</v>
      </c>
      <c r="DY144" s="102">
        <v>36.599999999999973</v>
      </c>
      <c r="DZ144" s="102"/>
      <c r="EA144" s="102">
        <v>13.9</v>
      </c>
    </row>
    <row r="145" spans="1:131" x14ac:dyDescent="0.1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  <c r="CW145" s="102"/>
      <c r="CX145" s="102"/>
      <c r="CY145" s="102"/>
      <c r="CZ145" s="102"/>
      <c r="DA145" s="1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3">
        <v>68.5</v>
      </c>
      <c r="DY145" s="102">
        <v>36.499999999999972</v>
      </c>
      <c r="DZ145" s="102"/>
      <c r="EA145" s="102">
        <v>14</v>
      </c>
    </row>
    <row r="146" spans="1:131" x14ac:dyDescent="0.1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  <c r="CW146" s="102"/>
      <c r="CX146" s="102"/>
      <c r="CY146" s="102"/>
      <c r="CZ146" s="102"/>
      <c r="DA146" s="1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3">
        <v>69</v>
      </c>
      <c r="DY146" s="102">
        <v>36.39999999999997</v>
      </c>
      <c r="DZ146" s="102"/>
      <c r="EA146" s="102">
        <v>14.1</v>
      </c>
    </row>
    <row r="147" spans="1:131" x14ac:dyDescent="0.1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  <c r="CW147" s="102"/>
      <c r="CX147" s="102"/>
      <c r="CY147" s="102"/>
      <c r="CZ147" s="102"/>
      <c r="DA147" s="10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3">
        <v>69.5</v>
      </c>
      <c r="DY147" s="102">
        <v>36.299999999999969</v>
      </c>
      <c r="DZ147" s="102"/>
      <c r="EA147" s="102">
        <v>14.2</v>
      </c>
    </row>
    <row r="148" spans="1:131" x14ac:dyDescent="0.1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  <c r="CW148" s="102"/>
      <c r="CX148" s="102"/>
      <c r="CY148" s="102"/>
      <c r="CZ148" s="102"/>
      <c r="DA148" s="10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3">
        <v>70</v>
      </c>
      <c r="DY148" s="102">
        <v>36.199999999999967</v>
      </c>
      <c r="DZ148" s="102"/>
      <c r="EA148" s="102">
        <v>14.3</v>
      </c>
    </row>
    <row r="149" spans="1:131" x14ac:dyDescent="0.1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  <c r="CW149" s="102"/>
      <c r="CX149" s="102"/>
      <c r="CY149" s="102"/>
      <c r="CZ149" s="102"/>
      <c r="DA149" s="1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3">
        <v>70.5</v>
      </c>
      <c r="DY149" s="102">
        <v>36.099999999999966</v>
      </c>
      <c r="DZ149" s="102"/>
      <c r="EA149" s="102">
        <v>14.4</v>
      </c>
    </row>
    <row r="150" spans="1:131" x14ac:dyDescent="0.1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  <c r="CW150" s="102"/>
      <c r="CX150" s="102"/>
      <c r="CY150" s="102"/>
      <c r="CZ150" s="102"/>
      <c r="DA150" s="102"/>
      <c r="DB150" s="102"/>
      <c r="DC150" s="102"/>
      <c r="DD150" s="102"/>
      <c r="DE150" s="102"/>
      <c r="DF150" s="102"/>
      <c r="DG150" s="102"/>
      <c r="DH150" s="102"/>
      <c r="DI150" s="102"/>
      <c r="DJ150" s="102"/>
      <c r="DK150" s="102"/>
      <c r="DL150" s="102"/>
      <c r="DM150" s="102"/>
      <c r="DN150" s="102"/>
      <c r="DO150" s="102"/>
      <c r="DP150" s="102"/>
      <c r="DQ150" s="102"/>
      <c r="DR150" s="102"/>
      <c r="DS150" s="102"/>
      <c r="DT150" s="102"/>
      <c r="DU150" s="102"/>
      <c r="DV150" s="102"/>
      <c r="DW150" s="102"/>
      <c r="DX150" s="103">
        <v>71</v>
      </c>
      <c r="DY150" s="102">
        <v>35.999999999999964</v>
      </c>
      <c r="DZ150" s="102"/>
      <c r="EA150" s="102">
        <v>14.5</v>
      </c>
    </row>
    <row r="151" spans="1:131" x14ac:dyDescent="0.1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  <c r="CW151" s="102"/>
      <c r="CX151" s="102"/>
      <c r="CY151" s="102"/>
      <c r="CZ151" s="102"/>
      <c r="DA151" s="102"/>
      <c r="DB151" s="102"/>
      <c r="DC151" s="102"/>
      <c r="DD151" s="102"/>
      <c r="DE151" s="102"/>
      <c r="DF151" s="102"/>
      <c r="DG151" s="102"/>
      <c r="DH151" s="102"/>
      <c r="DI151" s="102"/>
      <c r="DJ151" s="102"/>
      <c r="DK151" s="102"/>
      <c r="DL151" s="102"/>
      <c r="DM151" s="102"/>
      <c r="DN151" s="102"/>
      <c r="DO151" s="102"/>
      <c r="DP151" s="102"/>
      <c r="DQ151" s="102"/>
      <c r="DR151" s="102"/>
      <c r="DS151" s="102"/>
      <c r="DT151" s="102"/>
      <c r="DU151" s="102"/>
      <c r="DV151" s="102"/>
      <c r="DW151" s="102"/>
      <c r="DX151" s="103">
        <v>71.5</v>
      </c>
      <c r="DY151" s="102">
        <v>35.899999999999963</v>
      </c>
      <c r="DZ151" s="102"/>
      <c r="EA151" s="102">
        <v>14.6</v>
      </c>
    </row>
    <row r="152" spans="1:131" x14ac:dyDescent="0.1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02"/>
      <c r="DO152" s="102"/>
      <c r="DP152" s="102"/>
      <c r="DQ152" s="102"/>
      <c r="DR152" s="102"/>
      <c r="DS152" s="102"/>
      <c r="DT152" s="102"/>
      <c r="DU152" s="102"/>
      <c r="DV152" s="102"/>
      <c r="DW152" s="102"/>
      <c r="DX152" s="103">
        <v>72</v>
      </c>
      <c r="DY152" s="102">
        <v>35.799999999999962</v>
      </c>
      <c r="DZ152" s="102"/>
      <c r="EA152" s="102">
        <v>14.7</v>
      </c>
    </row>
    <row r="153" spans="1:131" x14ac:dyDescent="0.1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  <c r="CW153" s="102"/>
      <c r="CX153" s="102"/>
      <c r="CY153" s="102"/>
      <c r="CZ153" s="102"/>
      <c r="DA153" s="102"/>
      <c r="DB153" s="102"/>
      <c r="DC153" s="102"/>
      <c r="DD153" s="102"/>
      <c r="DE153" s="102"/>
      <c r="DF153" s="102"/>
      <c r="DG153" s="102"/>
      <c r="DH153" s="102"/>
      <c r="DI153" s="102"/>
      <c r="DJ153" s="102"/>
      <c r="DK153" s="102"/>
      <c r="DL153" s="102"/>
      <c r="DM153" s="102"/>
      <c r="DN153" s="102"/>
      <c r="DO153" s="102"/>
      <c r="DP153" s="102"/>
      <c r="DQ153" s="102"/>
      <c r="DR153" s="102"/>
      <c r="DS153" s="102"/>
      <c r="DT153" s="102"/>
      <c r="DU153" s="102"/>
      <c r="DV153" s="102"/>
      <c r="DW153" s="102"/>
      <c r="DX153" s="103">
        <v>72.5</v>
      </c>
      <c r="DY153" s="102">
        <v>35.69999999999996</v>
      </c>
      <c r="DZ153" s="102"/>
      <c r="EA153" s="102">
        <v>14.8</v>
      </c>
    </row>
    <row r="154" spans="1:131" x14ac:dyDescent="0.15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  <c r="CW154" s="102"/>
      <c r="CX154" s="102"/>
      <c r="CY154" s="102"/>
      <c r="CZ154" s="102"/>
      <c r="DA154" s="102"/>
      <c r="DB154" s="102"/>
      <c r="DC154" s="102"/>
      <c r="DD154" s="102"/>
      <c r="DE154" s="102"/>
      <c r="DF154" s="102"/>
      <c r="DG154" s="102"/>
      <c r="DH154" s="102"/>
      <c r="DI154" s="102"/>
      <c r="DJ154" s="102"/>
      <c r="DK154" s="102"/>
      <c r="DL154" s="102"/>
      <c r="DM154" s="102"/>
      <c r="DN154" s="102"/>
      <c r="DO154" s="102"/>
      <c r="DP154" s="102"/>
      <c r="DQ154" s="102"/>
      <c r="DR154" s="102"/>
      <c r="DS154" s="102"/>
      <c r="DT154" s="102"/>
      <c r="DU154" s="102"/>
      <c r="DV154" s="102"/>
      <c r="DW154" s="102"/>
      <c r="DX154" s="103">
        <v>73</v>
      </c>
      <c r="DY154" s="102">
        <v>35.599999999999959</v>
      </c>
      <c r="DZ154" s="102"/>
      <c r="EA154" s="102">
        <v>14.9</v>
      </c>
    </row>
    <row r="155" spans="1:131" x14ac:dyDescent="0.1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  <c r="CW155" s="102"/>
      <c r="CX155" s="102"/>
      <c r="CY155" s="102"/>
      <c r="CZ155" s="102"/>
      <c r="DA155" s="102"/>
      <c r="DB155" s="102"/>
      <c r="DC155" s="102"/>
      <c r="DD155" s="102"/>
      <c r="DE155" s="102"/>
      <c r="DF155" s="102"/>
      <c r="DG155" s="102"/>
      <c r="DH155" s="102"/>
      <c r="DI155" s="102"/>
      <c r="DJ155" s="102"/>
      <c r="DK155" s="102"/>
      <c r="DL155" s="102"/>
      <c r="DM155" s="102"/>
      <c r="DN155" s="102"/>
      <c r="DO155" s="102"/>
      <c r="DP155" s="102"/>
      <c r="DQ155" s="102"/>
      <c r="DR155" s="102"/>
      <c r="DS155" s="102"/>
      <c r="DT155" s="102"/>
      <c r="DU155" s="102"/>
      <c r="DV155" s="102"/>
      <c r="DW155" s="102"/>
      <c r="DX155" s="103">
        <v>73.5</v>
      </c>
      <c r="DY155" s="102">
        <v>35.499999999999957</v>
      </c>
      <c r="DZ155" s="102"/>
      <c r="EA155" s="102">
        <v>15</v>
      </c>
    </row>
    <row r="156" spans="1:131" x14ac:dyDescent="0.1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  <c r="CW156" s="102"/>
      <c r="CX156" s="102"/>
      <c r="CY156" s="102"/>
      <c r="CZ156" s="102"/>
      <c r="DA156" s="102"/>
      <c r="DB156" s="102"/>
      <c r="DC156" s="102"/>
      <c r="DD156" s="102"/>
      <c r="DE156" s="102"/>
      <c r="DF156" s="102"/>
      <c r="DG156" s="102"/>
      <c r="DH156" s="102"/>
      <c r="DI156" s="102"/>
      <c r="DJ156" s="102"/>
      <c r="DK156" s="102"/>
      <c r="DL156" s="102"/>
      <c r="DM156" s="102"/>
      <c r="DN156" s="102"/>
      <c r="DO156" s="102"/>
      <c r="DP156" s="102"/>
      <c r="DQ156" s="102"/>
      <c r="DR156" s="102"/>
      <c r="DS156" s="102"/>
      <c r="DT156" s="102"/>
      <c r="DU156" s="102"/>
      <c r="DV156" s="102"/>
      <c r="DW156" s="102"/>
      <c r="DX156" s="103">
        <v>74</v>
      </c>
      <c r="DY156" s="102">
        <v>35.399999999999956</v>
      </c>
      <c r="DZ156" s="102"/>
      <c r="EA156" s="102">
        <v>15.1</v>
      </c>
    </row>
    <row r="157" spans="1:131" x14ac:dyDescent="0.1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  <c r="CW157" s="102"/>
      <c r="CX157" s="102"/>
      <c r="CY157" s="102"/>
      <c r="CZ157" s="102"/>
      <c r="DA157" s="102"/>
      <c r="DB157" s="102"/>
      <c r="DC157" s="102"/>
      <c r="DD157" s="102"/>
      <c r="DE157" s="102"/>
      <c r="DF157" s="102"/>
      <c r="DG157" s="102"/>
      <c r="DH157" s="102"/>
      <c r="DI157" s="102"/>
      <c r="DJ157" s="102"/>
      <c r="DK157" s="102"/>
      <c r="DL157" s="102"/>
      <c r="DM157" s="102"/>
      <c r="DN157" s="102"/>
      <c r="DO157" s="102"/>
      <c r="DP157" s="102"/>
      <c r="DQ157" s="102"/>
      <c r="DR157" s="102"/>
      <c r="DS157" s="102"/>
      <c r="DT157" s="102"/>
      <c r="DU157" s="102"/>
      <c r="DV157" s="102"/>
      <c r="DW157" s="102"/>
      <c r="DX157" s="103">
        <v>74.5</v>
      </c>
      <c r="DY157" s="102">
        <v>35.299999999999955</v>
      </c>
      <c r="DZ157" s="102"/>
      <c r="EA157" s="102">
        <v>15.2</v>
      </c>
    </row>
    <row r="158" spans="1:131" x14ac:dyDescent="0.1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  <c r="CW158" s="102"/>
      <c r="CX158" s="102"/>
      <c r="CY158" s="102"/>
      <c r="CZ158" s="102"/>
      <c r="DA158" s="102"/>
      <c r="DB158" s="102"/>
      <c r="DC158" s="102"/>
      <c r="DD158" s="102"/>
      <c r="DE158" s="102"/>
      <c r="DF158" s="102"/>
      <c r="DG158" s="102"/>
      <c r="DH158" s="102"/>
      <c r="DI158" s="102"/>
      <c r="DJ158" s="102"/>
      <c r="DK158" s="102"/>
      <c r="DL158" s="102"/>
      <c r="DM158" s="102"/>
      <c r="DN158" s="102"/>
      <c r="DO158" s="102"/>
      <c r="DP158" s="102"/>
      <c r="DQ158" s="102"/>
      <c r="DR158" s="102"/>
      <c r="DS158" s="102"/>
      <c r="DT158" s="102"/>
      <c r="DU158" s="102"/>
      <c r="DV158" s="102"/>
      <c r="DW158" s="102"/>
      <c r="DX158" s="103">
        <v>75</v>
      </c>
      <c r="DY158" s="102">
        <v>35.199999999999953</v>
      </c>
      <c r="DZ158" s="102"/>
      <c r="EA158" s="102">
        <v>15.3</v>
      </c>
    </row>
    <row r="159" spans="1:131" x14ac:dyDescent="0.1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  <c r="CW159" s="102"/>
      <c r="CX159" s="102"/>
      <c r="CY159" s="102"/>
      <c r="CZ159" s="102"/>
      <c r="DA159" s="102"/>
      <c r="DB159" s="102"/>
      <c r="DC159" s="102"/>
      <c r="DD159" s="102"/>
      <c r="DE159" s="102"/>
      <c r="DF159" s="102"/>
      <c r="DG159" s="102"/>
      <c r="DH159" s="102"/>
      <c r="DI159" s="102"/>
      <c r="DJ159" s="102"/>
      <c r="DK159" s="102"/>
      <c r="DL159" s="102"/>
      <c r="DM159" s="102"/>
      <c r="DN159" s="102"/>
      <c r="DO159" s="102"/>
      <c r="DP159" s="102"/>
      <c r="DQ159" s="102"/>
      <c r="DR159" s="102"/>
      <c r="DS159" s="102"/>
      <c r="DT159" s="102"/>
      <c r="DU159" s="102"/>
      <c r="DV159" s="102"/>
      <c r="DW159" s="102"/>
      <c r="DX159" s="103">
        <v>75.5</v>
      </c>
      <c r="DY159" s="102">
        <v>35.099999999999952</v>
      </c>
      <c r="DZ159" s="102"/>
      <c r="EA159" s="102">
        <v>15.4</v>
      </c>
    </row>
    <row r="160" spans="1:131" x14ac:dyDescent="0.15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  <c r="CW160" s="102"/>
      <c r="CX160" s="102"/>
      <c r="CY160" s="102"/>
      <c r="CZ160" s="102"/>
      <c r="DA160" s="102"/>
      <c r="DB160" s="102"/>
      <c r="DC160" s="102"/>
      <c r="DD160" s="102"/>
      <c r="DE160" s="102"/>
      <c r="DF160" s="102"/>
      <c r="DG160" s="102"/>
      <c r="DH160" s="102"/>
      <c r="DI160" s="102"/>
      <c r="DJ160" s="102"/>
      <c r="DK160" s="102"/>
      <c r="DL160" s="102"/>
      <c r="DM160" s="102"/>
      <c r="DN160" s="102"/>
      <c r="DO160" s="102"/>
      <c r="DP160" s="102"/>
      <c r="DQ160" s="102"/>
      <c r="DR160" s="102"/>
      <c r="DS160" s="102"/>
      <c r="DT160" s="102"/>
      <c r="DU160" s="102"/>
      <c r="DV160" s="102"/>
      <c r="DW160" s="102"/>
      <c r="DX160" s="103">
        <v>76</v>
      </c>
      <c r="DY160" s="102">
        <v>34.99999999999995</v>
      </c>
      <c r="DZ160" s="102"/>
      <c r="EA160" s="102">
        <v>15.5</v>
      </c>
    </row>
    <row r="161" spans="1:131" x14ac:dyDescent="0.1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  <c r="CW161" s="102"/>
      <c r="CX161" s="102"/>
      <c r="CY161" s="102"/>
      <c r="CZ161" s="102"/>
      <c r="DA161" s="102"/>
      <c r="DB161" s="102"/>
      <c r="DC161" s="102"/>
      <c r="DD161" s="102"/>
      <c r="DE161" s="102"/>
      <c r="DF161" s="102"/>
      <c r="DG161" s="102"/>
      <c r="DH161" s="102"/>
      <c r="DI161" s="102"/>
      <c r="DJ161" s="102"/>
      <c r="DK161" s="102"/>
      <c r="DL161" s="102"/>
      <c r="DM161" s="102"/>
      <c r="DN161" s="102"/>
      <c r="DO161" s="102"/>
      <c r="DP161" s="102"/>
      <c r="DQ161" s="102"/>
      <c r="DR161" s="102"/>
      <c r="DS161" s="102"/>
      <c r="DT161" s="102"/>
      <c r="DU161" s="102"/>
      <c r="DV161" s="102"/>
      <c r="DW161" s="102"/>
      <c r="DX161" s="103">
        <v>76.5</v>
      </c>
      <c r="DY161" s="102">
        <v>34.9</v>
      </c>
      <c r="DZ161" s="102"/>
      <c r="EA161" s="102">
        <v>15.6</v>
      </c>
    </row>
    <row r="162" spans="1:131" x14ac:dyDescent="0.1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  <c r="CW162" s="102"/>
      <c r="CX162" s="102"/>
      <c r="CY162" s="102"/>
      <c r="CZ162" s="102"/>
      <c r="DA162" s="102"/>
      <c r="DB162" s="102"/>
      <c r="DC162" s="102"/>
      <c r="DD162" s="102"/>
      <c r="DE162" s="102"/>
      <c r="DF162" s="102"/>
      <c r="DG162" s="102"/>
      <c r="DH162" s="102"/>
      <c r="DI162" s="102"/>
      <c r="DJ162" s="102"/>
      <c r="DK162" s="102"/>
      <c r="DL162" s="102"/>
      <c r="DM162" s="102"/>
      <c r="DN162" s="102"/>
      <c r="DO162" s="102"/>
      <c r="DP162" s="102"/>
      <c r="DQ162" s="102"/>
      <c r="DR162" s="102"/>
      <c r="DS162" s="102"/>
      <c r="DT162" s="102"/>
      <c r="DU162" s="102"/>
      <c r="DV162" s="102"/>
      <c r="DW162" s="102"/>
      <c r="DX162" s="103">
        <v>77</v>
      </c>
      <c r="DY162" s="102">
        <v>34.799999999999997</v>
      </c>
      <c r="DZ162" s="102"/>
      <c r="EA162" s="102">
        <v>15.7</v>
      </c>
    </row>
    <row r="163" spans="1:131" x14ac:dyDescent="0.1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  <c r="CW163" s="102"/>
      <c r="CX163" s="102"/>
      <c r="CY163" s="102"/>
      <c r="CZ163" s="102"/>
      <c r="DA163" s="102"/>
      <c r="DB163" s="102"/>
      <c r="DC163" s="102"/>
      <c r="DD163" s="102"/>
      <c r="DE163" s="102"/>
      <c r="DF163" s="102"/>
      <c r="DG163" s="102"/>
      <c r="DH163" s="102"/>
      <c r="DI163" s="102"/>
      <c r="DJ163" s="102"/>
      <c r="DK163" s="102"/>
      <c r="DL163" s="102"/>
      <c r="DM163" s="102"/>
      <c r="DN163" s="102"/>
      <c r="DO163" s="102"/>
      <c r="DP163" s="102"/>
      <c r="DQ163" s="102"/>
      <c r="DR163" s="102"/>
      <c r="DS163" s="102"/>
      <c r="DT163" s="102"/>
      <c r="DU163" s="102"/>
      <c r="DV163" s="102"/>
      <c r="DW163" s="102"/>
      <c r="DX163" s="103">
        <v>77.5</v>
      </c>
      <c r="DY163" s="102">
        <v>34.700000000000003</v>
      </c>
      <c r="DZ163" s="102"/>
      <c r="EA163" s="102">
        <v>15.8</v>
      </c>
    </row>
    <row r="164" spans="1:131" x14ac:dyDescent="0.1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  <c r="CW164" s="102"/>
      <c r="CX164" s="102"/>
      <c r="CY164" s="102"/>
      <c r="CZ164" s="102"/>
      <c r="DA164" s="102"/>
      <c r="DB164" s="102"/>
      <c r="DC164" s="102"/>
      <c r="DD164" s="102"/>
      <c r="DE164" s="102"/>
      <c r="DF164" s="102"/>
      <c r="DG164" s="102"/>
      <c r="DH164" s="102"/>
      <c r="DI164" s="102"/>
      <c r="DJ164" s="102"/>
      <c r="DK164" s="102"/>
      <c r="DL164" s="102"/>
      <c r="DM164" s="102"/>
      <c r="DN164" s="102"/>
      <c r="DO164" s="102"/>
      <c r="DP164" s="102"/>
      <c r="DQ164" s="102"/>
      <c r="DR164" s="102"/>
      <c r="DS164" s="102"/>
      <c r="DT164" s="102"/>
      <c r="DU164" s="102"/>
      <c r="DV164" s="102"/>
      <c r="DW164" s="102"/>
      <c r="DX164" s="103">
        <v>78</v>
      </c>
      <c r="DY164" s="102">
        <v>34.6</v>
      </c>
      <c r="DZ164" s="102"/>
      <c r="EA164" s="102">
        <v>15.9</v>
      </c>
    </row>
    <row r="165" spans="1:131" x14ac:dyDescent="0.1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  <c r="CW165" s="102"/>
      <c r="CX165" s="102"/>
      <c r="CY165" s="102"/>
      <c r="CZ165" s="102"/>
      <c r="DA165" s="102"/>
      <c r="DB165" s="102"/>
      <c r="DC165" s="102"/>
      <c r="DD165" s="102"/>
      <c r="DE165" s="102"/>
      <c r="DF165" s="102"/>
      <c r="DG165" s="102"/>
      <c r="DH165" s="102"/>
      <c r="DI165" s="102"/>
      <c r="DJ165" s="102"/>
      <c r="DK165" s="102"/>
      <c r="DL165" s="102"/>
      <c r="DM165" s="102"/>
      <c r="DN165" s="102"/>
      <c r="DO165" s="102"/>
      <c r="DP165" s="102"/>
      <c r="DQ165" s="102"/>
      <c r="DR165" s="102"/>
      <c r="DS165" s="102"/>
      <c r="DT165" s="102"/>
      <c r="DU165" s="102"/>
      <c r="DV165" s="102"/>
      <c r="DW165" s="102"/>
      <c r="DX165" s="103">
        <v>78.5</v>
      </c>
      <c r="DY165" s="102">
        <v>34.5</v>
      </c>
      <c r="DZ165" s="102"/>
      <c r="EA165" s="102">
        <v>16</v>
      </c>
    </row>
    <row r="166" spans="1:131" x14ac:dyDescent="0.15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  <c r="CW166" s="102"/>
      <c r="CX166" s="102"/>
      <c r="CY166" s="102"/>
      <c r="CZ166" s="102"/>
      <c r="DA166" s="102"/>
      <c r="DB166" s="102"/>
      <c r="DC166" s="102"/>
      <c r="DD166" s="102"/>
      <c r="DE166" s="102"/>
      <c r="DF166" s="102"/>
      <c r="DG166" s="102"/>
      <c r="DH166" s="102"/>
      <c r="DI166" s="102"/>
      <c r="DJ166" s="102"/>
      <c r="DK166" s="102"/>
      <c r="DL166" s="102"/>
      <c r="DM166" s="102"/>
      <c r="DN166" s="102"/>
      <c r="DO166" s="102"/>
      <c r="DP166" s="102"/>
      <c r="DQ166" s="102"/>
      <c r="DR166" s="102"/>
      <c r="DS166" s="102"/>
      <c r="DT166" s="102"/>
      <c r="DU166" s="102"/>
      <c r="DV166" s="102"/>
      <c r="DW166" s="102"/>
      <c r="DX166" s="103">
        <v>79</v>
      </c>
      <c r="DY166" s="102">
        <v>34.4</v>
      </c>
      <c r="DZ166" s="102"/>
      <c r="EA166" s="102">
        <v>16.100000000000001</v>
      </c>
    </row>
    <row r="167" spans="1:131" x14ac:dyDescent="0.1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  <c r="CW167" s="102"/>
      <c r="CX167" s="102"/>
      <c r="CY167" s="102"/>
      <c r="CZ167" s="102"/>
      <c r="DA167" s="102"/>
      <c r="DB167" s="102"/>
      <c r="DC167" s="102"/>
      <c r="DD167" s="102"/>
      <c r="DE167" s="102"/>
      <c r="DF167" s="102"/>
      <c r="DG167" s="102"/>
      <c r="DH167" s="102"/>
      <c r="DI167" s="102"/>
      <c r="DJ167" s="102"/>
      <c r="DK167" s="102"/>
      <c r="DL167" s="102"/>
      <c r="DM167" s="102"/>
      <c r="DN167" s="102"/>
      <c r="DO167" s="102"/>
      <c r="DP167" s="102"/>
      <c r="DQ167" s="102"/>
      <c r="DR167" s="102"/>
      <c r="DS167" s="102"/>
      <c r="DT167" s="102"/>
      <c r="DU167" s="102"/>
      <c r="DV167" s="102"/>
      <c r="DW167" s="102"/>
      <c r="DX167" s="103">
        <v>79.5</v>
      </c>
      <c r="DY167" s="102">
        <v>34.299999999999997</v>
      </c>
      <c r="DZ167" s="102"/>
      <c r="EA167" s="102">
        <v>16.2</v>
      </c>
    </row>
    <row r="168" spans="1:131" x14ac:dyDescent="0.1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  <c r="CW168" s="102"/>
      <c r="CX168" s="102"/>
      <c r="CY168" s="102"/>
      <c r="CZ168" s="102"/>
      <c r="DA168" s="102"/>
      <c r="DB168" s="102"/>
      <c r="DC168" s="102"/>
      <c r="DD168" s="102"/>
      <c r="DE168" s="102"/>
      <c r="DF168" s="102"/>
      <c r="DG168" s="102"/>
      <c r="DH168" s="102"/>
      <c r="DI168" s="102"/>
      <c r="DJ168" s="102"/>
      <c r="DK168" s="102"/>
      <c r="DL168" s="102"/>
      <c r="DM168" s="102"/>
      <c r="DN168" s="102"/>
      <c r="DO168" s="102"/>
      <c r="DP168" s="102"/>
      <c r="DQ168" s="102"/>
      <c r="DR168" s="102"/>
      <c r="DS168" s="102"/>
      <c r="DT168" s="102"/>
      <c r="DU168" s="102"/>
      <c r="DV168" s="102"/>
      <c r="DW168" s="102"/>
      <c r="DX168" s="103">
        <v>80</v>
      </c>
      <c r="DY168" s="102">
        <v>34.200000000000003</v>
      </c>
      <c r="DZ168" s="102"/>
      <c r="EA168" s="102">
        <v>16.3</v>
      </c>
    </row>
    <row r="169" spans="1:131" x14ac:dyDescent="0.1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  <c r="CW169" s="102"/>
      <c r="CX169" s="102"/>
      <c r="CY169" s="102"/>
      <c r="CZ169" s="102"/>
      <c r="DA169" s="102"/>
      <c r="DB169" s="102"/>
      <c r="DC169" s="102"/>
      <c r="DD169" s="102"/>
      <c r="DE169" s="102"/>
      <c r="DF169" s="102"/>
      <c r="DG169" s="102"/>
      <c r="DH169" s="102"/>
      <c r="DI169" s="102"/>
      <c r="DJ169" s="102"/>
      <c r="DK169" s="102"/>
      <c r="DL169" s="102"/>
      <c r="DM169" s="102"/>
      <c r="DN169" s="102"/>
      <c r="DO169" s="102"/>
      <c r="DP169" s="102"/>
      <c r="DQ169" s="102"/>
      <c r="DR169" s="102"/>
      <c r="DS169" s="102"/>
      <c r="DT169" s="102"/>
      <c r="DU169" s="102"/>
      <c r="DV169" s="102"/>
      <c r="DW169" s="102"/>
      <c r="DX169" s="103">
        <v>80.5</v>
      </c>
      <c r="DY169" s="102">
        <v>34.1</v>
      </c>
      <c r="DZ169" s="102"/>
      <c r="EA169" s="102">
        <v>16.399999999999999</v>
      </c>
    </row>
    <row r="170" spans="1:131" x14ac:dyDescent="0.1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  <c r="CW170" s="102"/>
      <c r="CX170" s="102"/>
      <c r="CY170" s="102"/>
      <c r="CZ170" s="102"/>
      <c r="DA170" s="102"/>
      <c r="DB170" s="102"/>
      <c r="DC170" s="102"/>
      <c r="DD170" s="102"/>
      <c r="DE170" s="102"/>
      <c r="DF170" s="102"/>
      <c r="DG170" s="102"/>
      <c r="DH170" s="102"/>
      <c r="DI170" s="102"/>
      <c r="DJ170" s="102"/>
      <c r="DK170" s="102"/>
      <c r="DL170" s="102"/>
      <c r="DM170" s="102"/>
      <c r="DN170" s="102"/>
      <c r="DO170" s="102"/>
      <c r="DP170" s="102"/>
      <c r="DQ170" s="102"/>
      <c r="DR170" s="102"/>
      <c r="DS170" s="102"/>
      <c r="DT170" s="102"/>
      <c r="DU170" s="102"/>
      <c r="DV170" s="102"/>
      <c r="DW170" s="102"/>
      <c r="DX170" s="103">
        <v>81</v>
      </c>
      <c r="DY170" s="102">
        <v>34</v>
      </c>
      <c r="DZ170" s="102"/>
      <c r="EA170" s="102">
        <v>16.5</v>
      </c>
    </row>
    <row r="171" spans="1:131" x14ac:dyDescent="0.1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3">
        <v>81.5</v>
      </c>
      <c r="DY171" s="102">
        <v>33.9</v>
      </c>
      <c r="DZ171" s="102"/>
      <c r="EA171" s="102">
        <v>16.600000000000001</v>
      </c>
    </row>
    <row r="172" spans="1:131" x14ac:dyDescent="0.15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  <c r="CW172" s="102"/>
      <c r="CX172" s="102"/>
      <c r="CY172" s="102"/>
      <c r="CZ172" s="102"/>
      <c r="DA172" s="102"/>
      <c r="DB172" s="102"/>
      <c r="DC172" s="102"/>
      <c r="DD172" s="102"/>
      <c r="DE172" s="102"/>
      <c r="DF172" s="102"/>
      <c r="DG172" s="102"/>
      <c r="DH172" s="102"/>
      <c r="DI172" s="102"/>
      <c r="DJ172" s="102"/>
      <c r="DK172" s="102"/>
      <c r="DL172" s="102"/>
      <c r="DM172" s="102"/>
      <c r="DN172" s="102"/>
      <c r="DO172" s="102"/>
      <c r="DP172" s="102"/>
      <c r="DQ172" s="102"/>
      <c r="DR172" s="102"/>
      <c r="DS172" s="102"/>
      <c r="DT172" s="102"/>
      <c r="DU172" s="102"/>
      <c r="DV172" s="102"/>
      <c r="DW172" s="102"/>
      <c r="DX172" s="103">
        <v>82</v>
      </c>
      <c r="DY172" s="102">
        <v>33.799999999999997</v>
      </c>
      <c r="DZ172" s="102"/>
      <c r="EA172" s="102">
        <v>16.7</v>
      </c>
    </row>
    <row r="173" spans="1:131" x14ac:dyDescent="0.1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  <c r="CW173" s="102"/>
      <c r="CX173" s="102"/>
      <c r="CY173" s="102"/>
      <c r="CZ173" s="102"/>
      <c r="DA173" s="102"/>
      <c r="DB173" s="102"/>
      <c r="DC173" s="102"/>
      <c r="DD173" s="102"/>
      <c r="DE173" s="102"/>
      <c r="DF173" s="102"/>
      <c r="DG173" s="102"/>
      <c r="DH173" s="102"/>
      <c r="DI173" s="102"/>
      <c r="DJ173" s="102"/>
      <c r="DK173" s="102"/>
      <c r="DL173" s="102"/>
      <c r="DM173" s="102"/>
      <c r="DN173" s="102"/>
      <c r="DO173" s="102"/>
      <c r="DP173" s="102"/>
      <c r="DQ173" s="102"/>
      <c r="DR173" s="102"/>
      <c r="DS173" s="102"/>
      <c r="DT173" s="102"/>
      <c r="DU173" s="102"/>
      <c r="DV173" s="102"/>
      <c r="DW173" s="102"/>
      <c r="DX173" s="103">
        <v>82.5</v>
      </c>
      <c r="DY173" s="102">
        <v>33.700000000000003</v>
      </c>
      <c r="DZ173" s="102"/>
      <c r="EA173" s="102">
        <v>16.8</v>
      </c>
    </row>
    <row r="174" spans="1:131" x14ac:dyDescent="0.1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  <c r="CW174" s="102"/>
      <c r="CX174" s="102"/>
      <c r="CY174" s="102"/>
      <c r="CZ174" s="102"/>
      <c r="DA174" s="102"/>
      <c r="DB174" s="102"/>
      <c r="DC174" s="102"/>
      <c r="DD174" s="102"/>
      <c r="DE174" s="102"/>
      <c r="DF174" s="102"/>
      <c r="DG174" s="102"/>
      <c r="DH174" s="102"/>
      <c r="DI174" s="102"/>
      <c r="DJ174" s="102"/>
      <c r="DK174" s="102"/>
      <c r="DL174" s="102"/>
      <c r="DM174" s="102"/>
      <c r="DN174" s="102"/>
      <c r="DO174" s="102"/>
      <c r="DP174" s="102"/>
      <c r="DQ174" s="102"/>
      <c r="DR174" s="102"/>
      <c r="DS174" s="102"/>
      <c r="DT174" s="102"/>
      <c r="DU174" s="102"/>
      <c r="DV174" s="102"/>
      <c r="DW174" s="102"/>
      <c r="DX174" s="103">
        <v>83</v>
      </c>
      <c r="DY174" s="102">
        <v>33.6</v>
      </c>
      <c r="DZ174" s="102"/>
      <c r="EA174" s="102">
        <v>16.899999999999999</v>
      </c>
    </row>
    <row r="175" spans="1:131" x14ac:dyDescent="0.1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  <c r="CW175" s="102"/>
      <c r="CX175" s="102"/>
      <c r="CY175" s="102"/>
      <c r="CZ175" s="102"/>
      <c r="DA175" s="102"/>
      <c r="DB175" s="102"/>
      <c r="DC175" s="102"/>
      <c r="DD175" s="102"/>
      <c r="DE175" s="102"/>
      <c r="DF175" s="102"/>
      <c r="DG175" s="102"/>
      <c r="DH175" s="102"/>
      <c r="DI175" s="102"/>
      <c r="DJ175" s="102"/>
      <c r="DK175" s="102"/>
      <c r="DL175" s="102"/>
      <c r="DM175" s="102"/>
      <c r="DN175" s="102"/>
      <c r="DO175" s="102"/>
      <c r="DP175" s="102"/>
      <c r="DQ175" s="102"/>
      <c r="DR175" s="102"/>
      <c r="DS175" s="102"/>
      <c r="DT175" s="102"/>
      <c r="DU175" s="102"/>
      <c r="DV175" s="102"/>
      <c r="DW175" s="102"/>
      <c r="DX175" s="103">
        <v>83.5</v>
      </c>
      <c r="DY175" s="102">
        <v>33.5</v>
      </c>
      <c r="DZ175" s="102"/>
      <c r="EA175" s="102">
        <v>17</v>
      </c>
    </row>
    <row r="176" spans="1:131" x14ac:dyDescent="0.15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  <c r="CW176" s="102"/>
      <c r="CX176" s="102"/>
      <c r="CY176" s="102"/>
      <c r="CZ176" s="102"/>
      <c r="DA176" s="102"/>
      <c r="DB176" s="102"/>
      <c r="DC176" s="102"/>
      <c r="DD176" s="102"/>
      <c r="DE176" s="102"/>
      <c r="DF176" s="102"/>
      <c r="DG176" s="102"/>
      <c r="DH176" s="102"/>
      <c r="DI176" s="102"/>
      <c r="DJ176" s="102"/>
      <c r="DK176" s="102"/>
      <c r="DL176" s="102"/>
      <c r="DM176" s="102"/>
      <c r="DN176" s="102"/>
      <c r="DO176" s="102"/>
      <c r="DP176" s="102"/>
      <c r="DQ176" s="102"/>
      <c r="DR176" s="102"/>
      <c r="DS176" s="102"/>
      <c r="DT176" s="102"/>
      <c r="DU176" s="102"/>
      <c r="DV176" s="102"/>
      <c r="DW176" s="102"/>
      <c r="DX176" s="103">
        <v>84</v>
      </c>
      <c r="DY176" s="102">
        <v>33.4</v>
      </c>
      <c r="DZ176" s="102"/>
      <c r="EA176" s="102">
        <v>17.100000000000001</v>
      </c>
    </row>
    <row r="177" spans="1:131" x14ac:dyDescent="0.15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  <c r="CW177" s="102"/>
      <c r="CX177" s="102"/>
      <c r="CY177" s="102"/>
      <c r="CZ177" s="102"/>
      <c r="DA177" s="102"/>
      <c r="DB177" s="102"/>
      <c r="DC177" s="102"/>
      <c r="DD177" s="102"/>
      <c r="DE177" s="102"/>
      <c r="DF177" s="102"/>
      <c r="DG177" s="102"/>
      <c r="DH177" s="102"/>
      <c r="DI177" s="102"/>
      <c r="DJ177" s="102"/>
      <c r="DK177" s="102"/>
      <c r="DL177" s="102"/>
      <c r="DM177" s="102"/>
      <c r="DN177" s="102"/>
      <c r="DO177" s="102"/>
      <c r="DP177" s="102"/>
      <c r="DQ177" s="102"/>
      <c r="DR177" s="102"/>
      <c r="DS177" s="102"/>
      <c r="DT177" s="102"/>
      <c r="DU177" s="102"/>
      <c r="DV177" s="102"/>
      <c r="DW177" s="102"/>
      <c r="DX177" s="103">
        <v>84.5</v>
      </c>
      <c r="DY177" s="102">
        <v>33.299999999999997</v>
      </c>
      <c r="DZ177" s="102"/>
      <c r="EA177" s="102">
        <v>17.2</v>
      </c>
    </row>
    <row r="178" spans="1:131" x14ac:dyDescent="0.15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  <c r="CW178" s="102"/>
      <c r="CX178" s="102"/>
      <c r="CY178" s="102"/>
      <c r="CZ178" s="102"/>
      <c r="DA178" s="102"/>
      <c r="DB178" s="102"/>
      <c r="DC178" s="102"/>
      <c r="DD178" s="102"/>
      <c r="DE178" s="102"/>
      <c r="DF178" s="102"/>
      <c r="DG178" s="102"/>
      <c r="DH178" s="102"/>
      <c r="DI178" s="102"/>
      <c r="DJ178" s="102"/>
      <c r="DK178" s="102"/>
      <c r="DL178" s="102"/>
      <c r="DM178" s="102"/>
      <c r="DN178" s="102"/>
      <c r="DO178" s="102"/>
      <c r="DP178" s="102"/>
      <c r="DQ178" s="102"/>
      <c r="DR178" s="102"/>
      <c r="DS178" s="102"/>
      <c r="DT178" s="102"/>
      <c r="DU178" s="102"/>
      <c r="DV178" s="102"/>
      <c r="DW178" s="102"/>
      <c r="DX178" s="103">
        <v>85</v>
      </c>
      <c r="DY178" s="102">
        <v>33.200000000000003</v>
      </c>
      <c r="DZ178" s="102"/>
      <c r="EA178" s="102">
        <v>17.3</v>
      </c>
    </row>
    <row r="179" spans="1:131" x14ac:dyDescent="0.15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  <c r="CW179" s="102"/>
      <c r="CX179" s="102"/>
      <c r="CY179" s="102"/>
      <c r="CZ179" s="102"/>
      <c r="DA179" s="102"/>
      <c r="DB179" s="102"/>
      <c r="DC179" s="102"/>
      <c r="DD179" s="102"/>
      <c r="DE179" s="102"/>
      <c r="DF179" s="102"/>
      <c r="DG179" s="102"/>
      <c r="DH179" s="102"/>
      <c r="DI179" s="102"/>
      <c r="DJ179" s="102"/>
      <c r="DK179" s="102"/>
      <c r="DL179" s="102"/>
      <c r="DM179" s="102"/>
      <c r="DN179" s="102"/>
      <c r="DO179" s="102"/>
      <c r="DP179" s="102"/>
      <c r="DQ179" s="102"/>
      <c r="DR179" s="102"/>
      <c r="DS179" s="102"/>
      <c r="DT179" s="102"/>
      <c r="DU179" s="102"/>
      <c r="DV179" s="102"/>
      <c r="DW179" s="102"/>
      <c r="DX179" s="103">
        <v>85.5</v>
      </c>
      <c r="DY179" s="102">
        <v>33.1</v>
      </c>
      <c r="DZ179" s="102"/>
      <c r="EA179" s="102">
        <v>17.399999999999999</v>
      </c>
    </row>
    <row r="180" spans="1:131" x14ac:dyDescent="0.15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  <c r="CW180" s="102"/>
      <c r="CX180" s="102"/>
      <c r="CY180" s="102"/>
      <c r="CZ180" s="102"/>
      <c r="DA180" s="102"/>
      <c r="DB180" s="102"/>
      <c r="DC180" s="102"/>
      <c r="DD180" s="102"/>
      <c r="DE180" s="102"/>
      <c r="DF180" s="102"/>
      <c r="DG180" s="102"/>
      <c r="DH180" s="102"/>
      <c r="DI180" s="102"/>
      <c r="DJ180" s="102"/>
      <c r="DK180" s="102"/>
      <c r="DL180" s="102"/>
      <c r="DM180" s="102"/>
      <c r="DN180" s="102"/>
      <c r="DO180" s="102"/>
      <c r="DP180" s="102"/>
      <c r="DQ180" s="102"/>
      <c r="DR180" s="102"/>
      <c r="DS180" s="102"/>
      <c r="DT180" s="102"/>
      <c r="DU180" s="102"/>
      <c r="DV180" s="102"/>
      <c r="DW180" s="102"/>
      <c r="DX180" s="103">
        <v>86</v>
      </c>
      <c r="DY180" s="102">
        <v>33</v>
      </c>
      <c r="DZ180" s="102"/>
      <c r="EA180" s="102">
        <v>17.5</v>
      </c>
    </row>
    <row r="181" spans="1:131" x14ac:dyDescent="0.15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3">
        <v>86.5</v>
      </c>
      <c r="DY181" s="102">
        <v>32.9</v>
      </c>
      <c r="DZ181" s="102"/>
      <c r="EA181" s="102">
        <v>17.600000000000001</v>
      </c>
    </row>
    <row r="182" spans="1:131" x14ac:dyDescent="0.15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3">
        <v>87</v>
      </c>
      <c r="DY182" s="102">
        <v>32.799999999999997</v>
      </c>
      <c r="DZ182" s="102"/>
      <c r="EA182" s="102">
        <v>17.7</v>
      </c>
    </row>
    <row r="183" spans="1:131" x14ac:dyDescent="0.15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3">
        <v>87.5</v>
      </c>
      <c r="DY183" s="102">
        <v>32.700000000000003</v>
      </c>
      <c r="DZ183" s="102"/>
      <c r="EA183" s="102">
        <v>17.8</v>
      </c>
    </row>
    <row r="184" spans="1:131" x14ac:dyDescent="0.15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3">
        <v>88</v>
      </c>
      <c r="DY184" s="102">
        <v>32.6</v>
      </c>
      <c r="DZ184" s="102"/>
      <c r="EA184" s="102">
        <v>17.899999999999999</v>
      </c>
    </row>
    <row r="185" spans="1:131" x14ac:dyDescent="0.15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3">
        <v>88.5</v>
      </c>
      <c r="DY185" s="102">
        <v>32.5</v>
      </c>
      <c r="DZ185" s="102"/>
      <c r="EA185" s="102">
        <v>18</v>
      </c>
    </row>
    <row r="186" spans="1:131" x14ac:dyDescent="0.15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  <c r="CW186" s="102"/>
      <c r="CX186" s="102"/>
      <c r="CY186" s="102"/>
      <c r="CZ186" s="102"/>
      <c r="DA186" s="102"/>
      <c r="DB186" s="102"/>
      <c r="DC186" s="102"/>
      <c r="DD186" s="102"/>
      <c r="DE186" s="102"/>
      <c r="DF186" s="102"/>
      <c r="DG186" s="102"/>
      <c r="DH186" s="102"/>
      <c r="DI186" s="102"/>
      <c r="DJ186" s="102"/>
      <c r="DK186" s="102"/>
      <c r="DL186" s="102"/>
      <c r="DM186" s="102"/>
      <c r="DN186" s="102"/>
      <c r="DO186" s="102"/>
      <c r="DP186" s="102"/>
      <c r="DQ186" s="102"/>
      <c r="DR186" s="102"/>
      <c r="DS186" s="102"/>
      <c r="DT186" s="102"/>
      <c r="DU186" s="102"/>
      <c r="DV186" s="102"/>
      <c r="DW186" s="102"/>
      <c r="DX186" s="103">
        <v>89</v>
      </c>
      <c r="DY186" s="102">
        <v>32.4</v>
      </c>
      <c r="DZ186" s="102"/>
      <c r="EA186" s="102">
        <v>18.100000000000001</v>
      </c>
    </row>
    <row r="187" spans="1:131" x14ac:dyDescent="0.15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  <c r="CW187" s="102"/>
      <c r="CX187" s="102"/>
      <c r="CY187" s="102"/>
      <c r="CZ187" s="102"/>
      <c r="DA187" s="102"/>
      <c r="DB187" s="102"/>
      <c r="DC187" s="102"/>
      <c r="DD187" s="102"/>
      <c r="DE187" s="102"/>
      <c r="DF187" s="102"/>
      <c r="DG187" s="102"/>
      <c r="DH187" s="102"/>
      <c r="DI187" s="102"/>
      <c r="DJ187" s="102"/>
      <c r="DK187" s="102"/>
      <c r="DL187" s="102"/>
      <c r="DM187" s="102"/>
      <c r="DN187" s="102"/>
      <c r="DO187" s="102"/>
      <c r="DP187" s="102"/>
      <c r="DQ187" s="102"/>
      <c r="DR187" s="102"/>
      <c r="DS187" s="102"/>
      <c r="DT187" s="102"/>
      <c r="DU187" s="102"/>
      <c r="DV187" s="102"/>
      <c r="DW187" s="102"/>
      <c r="DX187" s="103">
        <v>89.5</v>
      </c>
      <c r="DY187" s="102">
        <v>32.299999999999997</v>
      </c>
      <c r="DZ187" s="102"/>
      <c r="EA187" s="102">
        <v>18.2</v>
      </c>
    </row>
    <row r="188" spans="1:131" x14ac:dyDescent="0.15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  <c r="CW188" s="102"/>
      <c r="CX188" s="102"/>
      <c r="CY188" s="102"/>
      <c r="CZ188" s="102"/>
      <c r="DA188" s="102"/>
      <c r="DB188" s="102"/>
      <c r="DC188" s="102"/>
      <c r="DD188" s="102"/>
      <c r="DE188" s="102"/>
      <c r="DF188" s="102"/>
      <c r="DG188" s="102"/>
      <c r="DH188" s="102"/>
      <c r="DI188" s="102"/>
      <c r="DJ188" s="102"/>
      <c r="DK188" s="102"/>
      <c r="DL188" s="102"/>
      <c r="DM188" s="102"/>
      <c r="DN188" s="102"/>
      <c r="DO188" s="102"/>
      <c r="DP188" s="102"/>
      <c r="DQ188" s="102"/>
      <c r="DR188" s="102"/>
      <c r="DS188" s="102"/>
      <c r="DT188" s="102"/>
      <c r="DU188" s="102"/>
      <c r="DV188" s="102"/>
      <c r="DW188" s="102"/>
      <c r="DX188" s="103">
        <v>90</v>
      </c>
      <c r="DY188" s="102">
        <v>32.200000000000003</v>
      </c>
      <c r="DZ188" s="102"/>
      <c r="EA188" s="102">
        <v>18.3</v>
      </c>
    </row>
    <row r="189" spans="1:131" x14ac:dyDescent="0.15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  <c r="CW189" s="102"/>
      <c r="CX189" s="102"/>
      <c r="CY189" s="102"/>
      <c r="CZ189" s="102"/>
      <c r="DA189" s="102"/>
      <c r="DB189" s="102"/>
      <c r="DC189" s="102"/>
      <c r="DD189" s="102"/>
      <c r="DE189" s="102"/>
      <c r="DF189" s="102"/>
      <c r="DG189" s="102"/>
      <c r="DH189" s="102"/>
      <c r="DI189" s="102"/>
      <c r="DJ189" s="102"/>
      <c r="DK189" s="102"/>
      <c r="DL189" s="102"/>
      <c r="DM189" s="102"/>
      <c r="DN189" s="102"/>
      <c r="DO189" s="102"/>
      <c r="DP189" s="102"/>
      <c r="DQ189" s="102"/>
      <c r="DR189" s="102"/>
      <c r="DS189" s="102"/>
      <c r="DT189" s="102"/>
      <c r="DU189" s="102"/>
      <c r="DV189" s="102"/>
      <c r="DW189" s="102"/>
      <c r="DX189" s="103">
        <v>90.5</v>
      </c>
      <c r="DY189" s="102">
        <v>32.1</v>
      </c>
      <c r="DZ189" s="102"/>
      <c r="EA189" s="102">
        <v>18.399999999999999</v>
      </c>
    </row>
    <row r="190" spans="1:131" x14ac:dyDescent="0.15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  <c r="CW190" s="102"/>
      <c r="CX190" s="102"/>
      <c r="CY190" s="102"/>
      <c r="CZ190" s="102"/>
      <c r="DA190" s="102"/>
      <c r="DB190" s="102"/>
      <c r="DC190" s="102"/>
      <c r="DD190" s="102"/>
      <c r="DE190" s="102"/>
      <c r="DF190" s="102"/>
      <c r="DG190" s="102"/>
      <c r="DH190" s="102"/>
      <c r="DI190" s="102"/>
      <c r="DJ190" s="102"/>
      <c r="DK190" s="102"/>
      <c r="DL190" s="102"/>
      <c r="DM190" s="102"/>
      <c r="DN190" s="102"/>
      <c r="DO190" s="102"/>
      <c r="DP190" s="102"/>
      <c r="DQ190" s="102"/>
      <c r="DR190" s="102"/>
      <c r="DS190" s="102"/>
      <c r="DT190" s="102"/>
      <c r="DU190" s="102"/>
      <c r="DV190" s="102"/>
      <c r="DW190" s="102"/>
      <c r="DX190" s="103">
        <v>91</v>
      </c>
      <c r="DY190" s="102">
        <v>32</v>
      </c>
      <c r="DZ190" s="102"/>
      <c r="EA190" s="102">
        <v>18.5</v>
      </c>
    </row>
    <row r="191" spans="1:131" x14ac:dyDescent="0.15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  <c r="CW191" s="102"/>
      <c r="CX191" s="102"/>
      <c r="CY191" s="102"/>
      <c r="CZ191" s="102"/>
      <c r="DA191" s="102"/>
      <c r="DB191" s="102"/>
      <c r="DC191" s="102"/>
      <c r="DD191" s="102"/>
      <c r="DE191" s="102"/>
      <c r="DF191" s="102"/>
      <c r="DG191" s="102"/>
      <c r="DH191" s="102"/>
      <c r="DI191" s="102"/>
      <c r="DJ191" s="102"/>
      <c r="DK191" s="102"/>
      <c r="DL191" s="102"/>
      <c r="DM191" s="102"/>
      <c r="DN191" s="102"/>
      <c r="DO191" s="102"/>
      <c r="DP191" s="102"/>
      <c r="DQ191" s="102"/>
      <c r="DR191" s="102"/>
      <c r="DS191" s="102"/>
      <c r="DT191" s="102"/>
      <c r="DU191" s="102"/>
      <c r="DV191" s="102"/>
      <c r="DW191" s="102"/>
      <c r="DX191" s="103">
        <v>91.5</v>
      </c>
      <c r="DY191" s="102">
        <v>31.9</v>
      </c>
      <c r="DZ191" s="102"/>
      <c r="EA191" s="102">
        <v>18.600000000000001</v>
      </c>
    </row>
    <row r="192" spans="1:131" x14ac:dyDescent="0.15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  <c r="CW192" s="102"/>
      <c r="CX192" s="102"/>
      <c r="CY192" s="102"/>
      <c r="CZ192" s="102"/>
      <c r="DA192" s="102"/>
      <c r="DB192" s="102"/>
      <c r="DC192" s="102"/>
      <c r="DD192" s="102"/>
      <c r="DE192" s="102"/>
      <c r="DF192" s="102"/>
      <c r="DG192" s="102"/>
      <c r="DH192" s="102"/>
      <c r="DI192" s="102"/>
      <c r="DJ192" s="102"/>
      <c r="DK192" s="102"/>
      <c r="DL192" s="102"/>
      <c r="DM192" s="102"/>
      <c r="DN192" s="102"/>
      <c r="DO192" s="102"/>
      <c r="DP192" s="102"/>
      <c r="DQ192" s="102"/>
      <c r="DR192" s="102"/>
      <c r="DS192" s="102"/>
      <c r="DT192" s="102"/>
      <c r="DU192" s="102"/>
      <c r="DV192" s="102"/>
      <c r="DW192" s="102"/>
      <c r="DX192" s="103">
        <v>92</v>
      </c>
      <c r="DY192" s="102">
        <v>31.8</v>
      </c>
      <c r="DZ192" s="102"/>
      <c r="EA192" s="102">
        <v>18.7</v>
      </c>
    </row>
    <row r="193" spans="1:131" x14ac:dyDescent="0.15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  <c r="CW193" s="102"/>
      <c r="CX193" s="102"/>
      <c r="CY193" s="102"/>
      <c r="CZ193" s="102"/>
      <c r="DA193" s="102"/>
      <c r="DB193" s="102"/>
      <c r="DC193" s="102"/>
      <c r="DD193" s="102"/>
      <c r="DE193" s="102"/>
      <c r="DF193" s="102"/>
      <c r="DG193" s="102"/>
      <c r="DH193" s="102"/>
      <c r="DI193" s="102"/>
      <c r="DJ193" s="102"/>
      <c r="DK193" s="102"/>
      <c r="DL193" s="102"/>
      <c r="DM193" s="102"/>
      <c r="DN193" s="102"/>
      <c r="DO193" s="102"/>
      <c r="DP193" s="102"/>
      <c r="DQ193" s="102"/>
      <c r="DR193" s="102"/>
      <c r="DS193" s="102"/>
      <c r="DT193" s="102"/>
      <c r="DU193" s="102"/>
      <c r="DV193" s="102"/>
      <c r="DW193" s="102"/>
      <c r="DX193" s="103">
        <v>92.5</v>
      </c>
      <c r="DY193" s="102">
        <v>31.7</v>
      </c>
      <c r="DZ193" s="102"/>
      <c r="EA193" s="102">
        <v>18.8</v>
      </c>
    </row>
    <row r="194" spans="1:131" x14ac:dyDescent="0.15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  <c r="CW194" s="102"/>
      <c r="CX194" s="102"/>
      <c r="CY194" s="102"/>
      <c r="CZ194" s="102"/>
      <c r="DA194" s="102"/>
      <c r="DB194" s="102"/>
      <c r="DC194" s="102"/>
      <c r="DD194" s="102"/>
      <c r="DE194" s="102"/>
      <c r="DF194" s="102"/>
      <c r="DG194" s="102"/>
      <c r="DH194" s="102"/>
      <c r="DI194" s="102"/>
      <c r="DJ194" s="102"/>
      <c r="DK194" s="102"/>
      <c r="DL194" s="102"/>
      <c r="DM194" s="102"/>
      <c r="DN194" s="102"/>
      <c r="DO194" s="102"/>
      <c r="DP194" s="102"/>
      <c r="DQ194" s="102"/>
      <c r="DR194" s="102"/>
      <c r="DS194" s="102"/>
      <c r="DT194" s="102"/>
      <c r="DU194" s="102"/>
      <c r="DV194" s="102"/>
      <c r="DW194" s="102"/>
      <c r="DX194" s="103">
        <v>93</v>
      </c>
      <c r="DY194" s="102">
        <v>31.6</v>
      </c>
      <c r="DZ194" s="102"/>
      <c r="EA194" s="102">
        <v>18.899999999999999</v>
      </c>
    </row>
    <row r="195" spans="1:131" x14ac:dyDescent="0.15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  <c r="CW195" s="102"/>
      <c r="CX195" s="102"/>
      <c r="CY195" s="102"/>
      <c r="CZ195" s="102"/>
      <c r="DA195" s="102"/>
      <c r="DB195" s="102"/>
      <c r="DC195" s="102"/>
      <c r="DD195" s="102"/>
      <c r="DE195" s="102"/>
      <c r="DF195" s="102"/>
      <c r="DG195" s="102"/>
      <c r="DH195" s="102"/>
      <c r="DI195" s="102"/>
      <c r="DJ195" s="102"/>
      <c r="DK195" s="102"/>
      <c r="DL195" s="102"/>
      <c r="DM195" s="102"/>
      <c r="DN195" s="102"/>
      <c r="DO195" s="102"/>
      <c r="DP195" s="102"/>
      <c r="DQ195" s="102"/>
      <c r="DR195" s="102"/>
      <c r="DS195" s="102"/>
      <c r="DT195" s="102"/>
      <c r="DU195" s="102"/>
      <c r="DV195" s="102"/>
      <c r="DW195" s="102"/>
      <c r="DX195" s="103">
        <v>93.5</v>
      </c>
      <c r="DY195" s="102">
        <v>31.5</v>
      </c>
      <c r="DZ195" s="102"/>
      <c r="EA195" s="102">
        <v>19</v>
      </c>
    </row>
    <row r="196" spans="1:131" x14ac:dyDescent="0.15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  <c r="CW196" s="102"/>
      <c r="CX196" s="102"/>
      <c r="CY196" s="102"/>
      <c r="CZ196" s="102"/>
      <c r="DA196" s="102"/>
      <c r="DB196" s="102"/>
      <c r="DC196" s="102"/>
      <c r="DD196" s="102"/>
      <c r="DE196" s="102"/>
      <c r="DF196" s="102"/>
      <c r="DG196" s="102"/>
      <c r="DH196" s="102"/>
      <c r="DI196" s="102"/>
      <c r="DJ196" s="102"/>
      <c r="DK196" s="102"/>
      <c r="DL196" s="102"/>
      <c r="DM196" s="102"/>
      <c r="DN196" s="102"/>
      <c r="DO196" s="102"/>
      <c r="DP196" s="102"/>
      <c r="DQ196" s="102"/>
      <c r="DR196" s="102"/>
      <c r="DS196" s="102"/>
      <c r="DT196" s="102"/>
      <c r="DU196" s="102"/>
      <c r="DV196" s="102"/>
      <c r="DW196" s="102"/>
      <c r="DX196" s="103">
        <v>94</v>
      </c>
      <c r="DY196" s="102">
        <v>31.4</v>
      </c>
      <c r="DZ196" s="102"/>
      <c r="EA196" s="102">
        <v>19.100000000000001</v>
      </c>
    </row>
    <row r="197" spans="1:131" x14ac:dyDescent="0.15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  <c r="CW197" s="102"/>
      <c r="CX197" s="102"/>
      <c r="CY197" s="102"/>
      <c r="CZ197" s="102"/>
      <c r="DA197" s="102"/>
      <c r="DB197" s="102"/>
      <c r="DC197" s="102"/>
      <c r="DD197" s="102"/>
      <c r="DE197" s="102"/>
      <c r="DF197" s="102"/>
      <c r="DG197" s="102"/>
      <c r="DH197" s="102"/>
      <c r="DI197" s="102"/>
      <c r="DJ197" s="102"/>
      <c r="DK197" s="102"/>
      <c r="DL197" s="102"/>
      <c r="DM197" s="102"/>
      <c r="DN197" s="102"/>
      <c r="DO197" s="102"/>
      <c r="DP197" s="102"/>
      <c r="DQ197" s="102"/>
      <c r="DR197" s="102"/>
      <c r="DS197" s="102"/>
      <c r="DT197" s="102"/>
      <c r="DU197" s="102"/>
      <c r="DV197" s="102"/>
      <c r="DW197" s="102"/>
      <c r="DX197" s="103">
        <v>94.5</v>
      </c>
      <c r="DY197" s="102">
        <v>31.3</v>
      </c>
      <c r="DZ197" s="102"/>
      <c r="EA197" s="102">
        <v>19.2</v>
      </c>
    </row>
    <row r="198" spans="1:131" x14ac:dyDescent="0.15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  <c r="CW198" s="102"/>
      <c r="CX198" s="102"/>
      <c r="CY198" s="102"/>
      <c r="CZ198" s="102"/>
      <c r="DA198" s="102"/>
      <c r="DB198" s="102"/>
      <c r="DC198" s="102"/>
      <c r="DD198" s="102"/>
      <c r="DE198" s="102"/>
      <c r="DF198" s="102"/>
      <c r="DG198" s="102"/>
      <c r="DH198" s="102"/>
      <c r="DI198" s="102"/>
      <c r="DJ198" s="102"/>
      <c r="DK198" s="102"/>
      <c r="DL198" s="102"/>
      <c r="DM198" s="102"/>
      <c r="DN198" s="102"/>
      <c r="DO198" s="102"/>
      <c r="DP198" s="102"/>
      <c r="DQ198" s="102"/>
      <c r="DR198" s="102"/>
      <c r="DS198" s="102"/>
      <c r="DT198" s="102"/>
      <c r="DU198" s="102"/>
      <c r="DV198" s="102"/>
      <c r="DW198" s="102"/>
      <c r="DX198" s="103">
        <v>95</v>
      </c>
      <c r="DY198" s="102">
        <v>31.2</v>
      </c>
      <c r="DZ198" s="102"/>
      <c r="EA198" s="102">
        <v>19.3</v>
      </c>
    </row>
    <row r="199" spans="1:131" x14ac:dyDescent="0.15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  <c r="CW199" s="102"/>
      <c r="CX199" s="102"/>
      <c r="CY199" s="102"/>
      <c r="CZ199" s="102"/>
      <c r="DA199" s="102"/>
      <c r="DB199" s="102"/>
      <c r="DC199" s="102"/>
      <c r="DD199" s="102"/>
      <c r="DE199" s="102"/>
      <c r="DF199" s="102"/>
      <c r="DG199" s="102"/>
      <c r="DH199" s="102"/>
      <c r="DI199" s="102"/>
      <c r="DJ199" s="102"/>
      <c r="DK199" s="102"/>
      <c r="DL199" s="102"/>
      <c r="DM199" s="102"/>
      <c r="DN199" s="102"/>
      <c r="DO199" s="102"/>
      <c r="DP199" s="102"/>
      <c r="DQ199" s="102"/>
      <c r="DR199" s="102"/>
      <c r="DS199" s="102"/>
      <c r="DT199" s="102"/>
      <c r="DU199" s="102"/>
      <c r="DV199" s="102"/>
      <c r="DW199" s="102"/>
      <c r="DX199" s="103">
        <v>95.5</v>
      </c>
      <c r="DY199" s="102">
        <v>31.1</v>
      </c>
      <c r="DZ199" s="102"/>
      <c r="EA199" s="102">
        <v>19.399999999999999</v>
      </c>
    </row>
    <row r="200" spans="1:131" x14ac:dyDescent="0.15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  <c r="CW200" s="102"/>
      <c r="CX200" s="102"/>
      <c r="CY200" s="102"/>
      <c r="CZ200" s="102"/>
      <c r="DA200" s="102"/>
      <c r="DB200" s="102"/>
      <c r="DC200" s="102"/>
      <c r="DD200" s="102"/>
      <c r="DE200" s="102"/>
      <c r="DF200" s="102"/>
      <c r="DG200" s="102"/>
      <c r="DH200" s="102"/>
      <c r="DI200" s="102"/>
      <c r="DJ200" s="102"/>
      <c r="DK200" s="102"/>
      <c r="DL200" s="102"/>
      <c r="DM200" s="102"/>
      <c r="DN200" s="102"/>
      <c r="DO200" s="102"/>
      <c r="DP200" s="102"/>
      <c r="DQ200" s="102"/>
      <c r="DR200" s="102"/>
      <c r="DS200" s="102"/>
      <c r="DT200" s="102"/>
      <c r="DU200" s="102"/>
      <c r="DV200" s="102"/>
      <c r="DW200" s="102"/>
      <c r="DX200" s="103">
        <v>96</v>
      </c>
      <c r="DY200" s="102">
        <v>31</v>
      </c>
      <c r="DZ200" s="102"/>
      <c r="EA200" s="102">
        <v>19.5</v>
      </c>
    </row>
    <row r="201" spans="1:131" x14ac:dyDescent="0.15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  <c r="CW201" s="102"/>
      <c r="CX201" s="102"/>
      <c r="CY201" s="102"/>
      <c r="CZ201" s="102"/>
      <c r="DA201" s="102"/>
      <c r="DB201" s="102"/>
      <c r="DC201" s="102"/>
      <c r="DD201" s="102"/>
      <c r="DE201" s="102"/>
      <c r="DF201" s="102"/>
      <c r="DG201" s="102"/>
      <c r="DH201" s="102"/>
      <c r="DI201" s="102"/>
      <c r="DJ201" s="102"/>
      <c r="DK201" s="102"/>
      <c r="DL201" s="102"/>
      <c r="DM201" s="102"/>
      <c r="DN201" s="102"/>
      <c r="DO201" s="102"/>
      <c r="DP201" s="102"/>
      <c r="DQ201" s="102"/>
      <c r="DR201" s="102"/>
      <c r="DS201" s="102"/>
      <c r="DT201" s="102"/>
      <c r="DU201" s="102"/>
      <c r="DV201" s="102"/>
      <c r="DW201" s="102"/>
      <c r="DX201" s="103">
        <v>96.5</v>
      </c>
      <c r="DY201" s="102">
        <v>30.9</v>
      </c>
      <c r="DZ201" s="102"/>
      <c r="EA201" s="102">
        <v>19.600000000000001</v>
      </c>
    </row>
    <row r="202" spans="1:131" x14ac:dyDescent="0.15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  <c r="CW202" s="102"/>
      <c r="CX202" s="102"/>
      <c r="CY202" s="102"/>
      <c r="CZ202" s="102"/>
      <c r="DA202" s="102"/>
      <c r="DB202" s="102"/>
      <c r="DC202" s="102"/>
      <c r="DD202" s="102"/>
      <c r="DE202" s="102"/>
      <c r="DF202" s="102"/>
      <c r="DG202" s="102"/>
      <c r="DH202" s="102"/>
      <c r="DI202" s="102"/>
      <c r="DJ202" s="102"/>
      <c r="DK202" s="102"/>
      <c r="DL202" s="102"/>
      <c r="DM202" s="102"/>
      <c r="DN202" s="102"/>
      <c r="DO202" s="102"/>
      <c r="DP202" s="102"/>
      <c r="DQ202" s="102"/>
      <c r="DR202" s="102"/>
      <c r="DS202" s="102"/>
      <c r="DT202" s="102"/>
      <c r="DU202" s="102"/>
      <c r="DV202" s="102"/>
      <c r="DW202" s="102"/>
      <c r="DX202" s="103">
        <v>97</v>
      </c>
      <c r="DY202" s="102">
        <v>30.8</v>
      </c>
      <c r="DZ202" s="102"/>
      <c r="EA202" s="102">
        <v>19.7</v>
      </c>
    </row>
    <row r="203" spans="1:131" x14ac:dyDescent="0.15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  <c r="CW203" s="102"/>
      <c r="CX203" s="102"/>
      <c r="CY203" s="102"/>
      <c r="CZ203" s="102"/>
      <c r="DA203" s="102"/>
      <c r="DB203" s="102"/>
      <c r="DC203" s="102"/>
      <c r="DD203" s="102"/>
      <c r="DE203" s="102"/>
      <c r="DF203" s="102"/>
      <c r="DG203" s="102"/>
      <c r="DH203" s="102"/>
      <c r="DI203" s="102"/>
      <c r="DJ203" s="102"/>
      <c r="DK203" s="102"/>
      <c r="DL203" s="102"/>
      <c r="DM203" s="102"/>
      <c r="DN203" s="102"/>
      <c r="DO203" s="102"/>
      <c r="DP203" s="102"/>
      <c r="DQ203" s="102"/>
      <c r="DR203" s="102"/>
      <c r="DS203" s="102"/>
      <c r="DT203" s="102"/>
      <c r="DU203" s="102"/>
      <c r="DV203" s="102"/>
      <c r="DW203" s="102"/>
      <c r="DX203" s="103">
        <v>97.5</v>
      </c>
      <c r="DY203" s="102">
        <v>30.7</v>
      </c>
      <c r="DZ203" s="102"/>
      <c r="EA203" s="102">
        <v>19.8</v>
      </c>
    </row>
    <row r="204" spans="1:131" x14ac:dyDescent="0.15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  <c r="CW204" s="102"/>
      <c r="CX204" s="102"/>
      <c r="CY204" s="102"/>
      <c r="CZ204" s="102"/>
      <c r="DA204" s="102"/>
      <c r="DB204" s="102"/>
      <c r="DC204" s="102"/>
      <c r="DD204" s="102"/>
      <c r="DE204" s="102"/>
      <c r="DF204" s="102"/>
      <c r="DG204" s="102"/>
      <c r="DH204" s="102"/>
      <c r="DI204" s="102"/>
      <c r="DJ204" s="102"/>
      <c r="DK204" s="102"/>
      <c r="DL204" s="102"/>
      <c r="DM204" s="102"/>
      <c r="DN204" s="102"/>
      <c r="DO204" s="102"/>
      <c r="DP204" s="102"/>
      <c r="DQ204" s="102"/>
      <c r="DR204" s="102"/>
      <c r="DS204" s="102"/>
      <c r="DT204" s="102"/>
      <c r="DU204" s="102"/>
      <c r="DV204" s="102"/>
      <c r="DW204" s="102"/>
      <c r="DX204" s="103">
        <v>98</v>
      </c>
      <c r="DY204" s="102">
        <v>30.6</v>
      </c>
      <c r="DZ204" s="102"/>
      <c r="EA204" s="102">
        <v>19.899999999999999</v>
      </c>
    </row>
    <row r="205" spans="1:131" x14ac:dyDescent="0.15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  <c r="CW205" s="102"/>
      <c r="CX205" s="102"/>
      <c r="CY205" s="102"/>
      <c r="CZ205" s="102"/>
      <c r="DA205" s="102"/>
      <c r="DB205" s="102"/>
      <c r="DC205" s="102"/>
      <c r="DD205" s="102"/>
      <c r="DE205" s="102"/>
      <c r="DF205" s="102"/>
      <c r="DG205" s="102"/>
      <c r="DH205" s="102"/>
      <c r="DI205" s="102"/>
      <c r="DJ205" s="102"/>
      <c r="DK205" s="102"/>
      <c r="DL205" s="102"/>
      <c r="DM205" s="102"/>
      <c r="DN205" s="102"/>
      <c r="DO205" s="102"/>
      <c r="DP205" s="102"/>
      <c r="DQ205" s="102"/>
      <c r="DR205" s="102"/>
      <c r="DS205" s="102"/>
      <c r="DT205" s="102"/>
      <c r="DU205" s="102"/>
      <c r="DV205" s="102"/>
      <c r="DW205" s="102"/>
      <c r="DX205" s="103">
        <v>98.5</v>
      </c>
      <c r="DY205" s="102">
        <v>30.5</v>
      </c>
      <c r="DZ205" s="102"/>
      <c r="EA205" s="102">
        <v>20</v>
      </c>
    </row>
    <row r="206" spans="1:131" x14ac:dyDescent="0.15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  <c r="CW206" s="102"/>
      <c r="CX206" s="102"/>
      <c r="CY206" s="102"/>
      <c r="CZ206" s="102"/>
      <c r="DA206" s="102"/>
      <c r="DB206" s="102"/>
      <c r="DC206" s="102"/>
      <c r="DD206" s="102"/>
      <c r="DE206" s="102"/>
      <c r="DF206" s="102"/>
      <c r="DG206" s="102"/>
      <c r="DH206" s="102"/>
      <c r="DI206" s="102"/>
      <c r="DJ206" s="102"/>
      <c r="DK206" s="102"/>
      <c r="DL206" s="102"/>
      <c r="DM206" s="102"/>
      <c r="DN206" s="102"/>
      <c r="DO206" s="102"/>
      <c r="DP206" s="102"/>
      <c r="DQ206" s="102"/>
      <c r="DR206" s="102"/>
      <c r="DS206" s="102"/>
      <c r="DT206" s="102"/>
      <c r="DU206" s="102"/>
      <c r="DV206" s="102"/>
      <c r="DW206" s="102"/>
      <c r="DX206" s="103">
        <v>99</v>
      </c>
      <c r="DY206" s="102">
        <v>30.4</v>
      </c>
      <c r="DZ206" s="102"/>
      <c r="EA206" s="102"/>
    </row>
    <row r="207" spans="1:131" x14ac:dyDescent="0.15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  <c r="CW207" s="102"/>
      <c r="CX207" s="102"/>
      <c r="CY207" s="102"/>
      <c r="CZ207" s="102"/>
      <c r="DA207" s="102"/>
      <c r="DB207" s="102"/>
      <c r="DC207" s="102"/>
      <c r="DD207" s="102"/>
      <c r="DE207" s="102"/>
      <c r="DF207" s="102"/>
      <c r="DG207" s="102"/>
      <c r="DH207" s="102"/>
      <c r="DI207" s="102"/>
      <c r="DJ207" s="102"/>
      <c r="DK207" s="102"/>
      <c r="DL207" s="102"/>
      <c r="DM207" s="102"/>
      <c r="DN207" s="102"/>
      <c r="DO207" s="102"/>
      <c r="DP207" s="102"/>
      <c r="DQ207" s="102"/>
      <c r="DR207" s="102"/>
      <c r="DS207" s="102"/>
      <c r="DT207" s="102"/>
      <c r="DU207" s="102"/>
      <c r="DV207" s="102"/>
      <c r="DW207" s="102"/>
      <c r="DX207" s="103">
        <v>99.5</v>
      </c>
      <c r="DY207" s="102">
        <v>30.3</v>
      </c>
      <c r="DZ207" s="102"/>
      <c r="EA207" s="102"/>
    </row>
    <row r="208" spans="1:131" x14ac:dyDescent="0.15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  <c r="CW208" s="102"/>
      <c r="CX208" s="102"/>
      <c r="CY208" s="102"/>
      <c r="CZ208" s="102"/>
      <c r="DA208" s="102"/>
      <c r="DB208" s="102"/>
      <c r="DC208" s="102"/>
      <c r="DD208" s="102"/>
      <c r="DE208" s="102"/>
      <c r="DF208" s="102"/>
      <c r="DG208" s="102"/>
      <c r="DH208" s="102"/>
      <c r="DI208" s="102"/>
      <c r="DJ208" s="102"/>
      <c r="DK208" s="102"/>
      <c r="DL208" s="102"/>
      <c r="DM208" s="102"/>
      <c r="DN208" s="102"/>
      <c r="DO208" s="102"/>
      <c r="DP208" s="102"/>
      <c r="DQ208" s="102"/>
      <c r="DR208" s="102"/>
      <c r="DS208" s="102"/>
      <c r="DT208" s="102"/>
      <c r="DU208" s="102"/>
      <c r="DV208" s="102"/>
      <c r="DW208" s="102"/>
      <c r="DX208" s="104">
        <v>100</v>
      </c>
      <c r="DY208" s="102">
        <v>30.2</v>
      </c>
      <c r="DZ208" s="102"/>
      <c r="EA208" s="102"/>
    </row>
    <row r="209" spans="1:131" x14ac:dyDescent="0.15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  <c r="CW209" s="102"/>
      <c r="CX209" s="102"/>
      <c r="CY209" s="102"/>
      <c r="CZ209" s="102"/>
      <c r="DA209" s="102"/>
      <c r="DB209" s="102"/>
      <c r="DC209" s="102"/>
      <c r="DD209" s="102"/>
      <c r="DE209" s="102"/>
      <c r="DF209" s="102"/>
      <c r="DG209" s="102"/>
      <c r="DH209" s="102"/>
      <c r="DI209" s="102"/>
      <c r="DJ209" s="102"/>
      <c r="DK209" s="102"/>
      <c r="DL209" s="102"/>
      <c r="DM209" s="102"/>
      <c r="DN209" s="102"/>
      <c r="DO209" s="102"/>
      <c r="DP209" s="102"/>
      <c r="DQ209" s="102"/>
      <c r="DR209" s="102"/>
      <c r="DS209" s="102"/>
      <c r="DT209" s="102"/>
      <c r="DU209" s="102"/>
      <c r="DV209" s="102"/>
      <c r="DW209" s="102"/>
      <c r="DX209" s="104">
        <v>105</v>
      </c>
      <c r="DY209" s="102">
        <v>30.1</v>
      </c>
      <c r="DZ209" s="102"/>
      <c r="EA209" s="102"/>
    </row>
    <row r="210" spans="1:131" x14ac:dyDescent="0.15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  <c r="CW210" s="102"/>
      <c r="CX210" s="102"/>
      <c r="CY210" s="102"/>
      <c r="CZ210" s="102"/>
      <c r="DA210" s="102"/>
      <c r="DB210" s="102"/>
      <c r="DC210" s="102"/>
      <c r="DD210" s="102"/>
      <c r="DE210" s="102"/>
      <c r="DF210" s="102"/>
      <c r="DG210" s="102"/>
      <c r="DH210" s="102"/>
      <c r="DI210" s="102"/>
      <c r="DJ210" s="102"/>
      <c r="DK210" s="102"/>
      <c r="DL210" s="102"/>
      <c r="DM210" s="102"/>
      <c r="DN210" s="102"/>
      <c r="DO210" s="102"/>
      <c r="DP210" s="102"/>
      <c r="DQ210" s="102"/>
      <c r="DR210" s="102"/>
      <c r="DS210" s="102"/>
      <c r="DT210" s="102"/>
      <c r="DU210" s="102"/>
      <c r="DV210" s="102"/>
      <c r="DW210" s="102"/>
      <c r="DX210" s="104">
        <v>110</v>
      </c>
      <c r="DY210" s="102">
        <v>30</v>
      </c>
      <c r="DZ210" s="102"/>
      <c r="EA210" s="102"/>
    </row>
    <row r="211" spans="1:131" x14ac:dyDescent="0.15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  <c r="CW211" s="102"/>
      <c r="CX211" s="102"/>
      <c r="CY211" s="102"/>
      <c r="CZ211" s="102"/>
      <c r="DA211" s="102"/>
      <c r="DB211" s="102"/>
      <c r="DC211" s="102"/>
      <c r="DD211" s="102"/>
      <c r="DE211" s="102"/>
      <c r="DF211" s="102"/>
      <c r="DG211" s="102"/>
      <c r="DH211" s="102"/>
      <c r="DI211" s="102"/>
      <c r="DJ211" s="102"/>
      <c r="DK211" s="102"/>
      <c r="DL211" s="102"/>
      <c r="DM211" s="102"/>
      <c r="DN211" s="102"/>
      <c r="DO211" s="102"/>
      <c r="DP211" s="102"/>
      <c r="DQ211" s="102"/>
      <c r="DR211" s="102"/>
      <c r="DS211" s="102"/>
      <c r="DT211" s="102"/>
      <c r="DU211" s="102"/>
      <c r="DV211" s="102"/>
      <c r="DW211" s="102"/>
      <c r="DX211" s="104">
        <v>115</v>
      </c>
      <c r="DY211" s="102">
        <v>29.9</v>
      </c>
      <c r="DZ211" s="102"/>
      <c r="EA211" s="102"/>
    </row>
    <row r="212" spans="1:131" x14ac:dyDescent="0.15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  <c r="CW212" s="102"/>
      <c r="CX212" s="102"/>
      <c r="CY212" s="102"/>
      <c r="CZ212" s="102"/>
      <c r="DA212" s="102"/>
      <c r="DB212" s="102"/>
      <c r="DC212" s="102"/>
      <c r="DD212" s="102"/>
      <c r="DE212" s="102"/>
      <c r="DF212" s="102"/>
      <c r="DG212" s="102"/>
      <c r="DH212" s="102"/>
      <c r="DI212" s="102"/>
      <c r="DJ212" s="102"/>
      <c r="DK212" s="102"/>
      <c r="DL212" s="102"/>
      <c r="DM212" s="102"/>
      <c r="DN212" s="102"/>
      <c r="DO212" s="102"/>
      <c r="DP212" s="102"/>
      <c r="DQ212" s="102"/>
      <c r="DR212" s="102"/>
      <c r="DS212" s="102"/>
      <c r="DT212" s="102"/>
      <c r="DU212" s="102"/>
      <c r="DV212" s="102"/>
      <c r="DW212" s="102"/>
      <c r="DX212" s="104">
        <v>120</v>
      </c>
      <c r="DY212" s="102">
        <v>29.8</v>
      </c>
      <c r="DZ212" s="102"/>
      <c r="EA212" s="102"/>
    </row>
    <row r="213" spans="1:131" x14ac:dyDescent="0.15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  <c r="CW213" s="102"/>
      <c r="CX213" s="102"/>
      <c r="CY213" s="102"/>
      <c r="CZ213" s="102"/>
      <c r="DA213" s="102"/>
      <c r="DB213" s="102"/>
      <c r="DC213" s="102"/>
      <c r="DD213" s="102"/>
      <c r="DE213" s="102"/>
      <c r="DF213" s="102"/>
      <c r="DG213" s="102"/>
      <c r="DH213" s="102"/>
      <c r="DI213" s="102"/>
      <c r="DJ213" s="102"/>
      <c r="DK213" s="102"/>
      <c r="DL213" s="102"/>
      <c r="DM213" s="102"/>
      <c r="DN213" s="102"/>
      <c r="DO213" s="102"/>
      <c r="DP213" s="102"/>
      <c r="DQ213" s="102"/>
      <c r="DR213" s="102"/>
      <c r="DS213" s="102"/>
      <c r="DT213" s="102"/>
      <c r="DU213" s="102"/>
      <c r="DV213" s="102"/>
      <c r="DW213" s="102"/>
      <c r="DX213" s="104">
        <v>125</v>
      </c>
      <c r="DY213" s="102">
        <v>29.7</v>
      </c>
      <c r="DZ213" s="102"/>
      <c r="EA213" s="102"/>
    </row>
    <row r="214" spans="1:131" x14ac:dyDescent="0.15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  <c r="CW214" s="102"/>
      <c r="CX214" s="102"/>
      <c r="CY214" s="102"/>
      <c r="CZ214" s="102"/>
      <c r="DA214" s="102"/>
      <c r="DB214" s="102"/>
      <c r="DC214" s="102"/>
      <c r="DD214" s="102"/>
      <c r="DE214" s="102"/>
      <c r="DF214" s="102"/>
      <c r="DG214" s="102"/>
      <c r="DH214" s="102"/>
      <c r="DI214" s="102"/>
      <c r="DJ214" s="102"/>
      <c r="DK214" s="102"/>
      <c r="DL214" s="102"/>
      <c r="DM214" s="102"/>
      <c r="DN214" s="102"/>
      <c r="DO214" s="102"/>
      <c r="DP214" s="102"/>
      <c r="DQ214" s="102"/>
      <c r="DR214" s="102"/>
      <c r="DS214" s="102"/>
      <c r="DT214" s="102"/>
      <c r="DU214" s="102"/>
      <c r="DV214" s="102"/>
      <c r="DW214" s="102"/>
      <c r="DX214" s="104">
        <v>130</v>
      </c>
      <c r="DY214" s="102">
        <v>29.6</v>
      </c>
      <c r="DZ214" s="102"/>
      <c r="EA214" s="102"/>
    </row>
    <row r="215" spans="1:131" x14ac:dyDescent="0.15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  <c r="CW215" s="102"/>
      <c r="CX215" s="102"/>
      <c r="CY215" s="102"/>
      <c r="CZ215" s="102"/>
      <c r="DA215" s="102"/>
      <c r="DB215" s="102"/>
      <c r="DC215" s="102"/>
      <c r="DD215" s="102"/>
      <c r="DE215" s="102"/>
      <c r="DF215" s="102"/>
      <c r="DG215" s="102"/>
      <c r="DH215" s="102"/>
      <c r="DI215" s="102"/>
      <c r="DJ215" s="102"/>
      <c r="DK215" s="102"/>
      <c r="DL215" s="102"/>
      <c r="DM215" s="102"/>
      <c r="DN215" s="102"/>
      <c r="DO215" s="102"/>
      <c r="DP215" s="102"/>
      <c r="DQ215" s="102"/>
      <c r="DR215" s="102"/>
      <c r="DS215" s="102"/>
      <c r="DT215" s="102"/>
      <c r="DU215" s="102"/>
      <c r="DV215" s="102"/>
      <c r="DW215" s="102"/>
      <c r="DX215" s="104">
        <v>135</v>
      </c>
      <c r="DY215" s="102">
        <v>29.5</v>
      </c>
      <c r="DZ215" s="102"/>
      <c r="EA215" s="102"/>
    </row>
    <row r="216" spans="1:131" x14ac:dyDescent="0.15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  <c r="CW216" s="102"/>
      <c r="CX216" s="102"/>
      <c r="CY216" s="102"/>
      <c r="CZ216" s="102"/>
      <c r="DA216" s="102"/>
      <c r="DB216" s="102"/>
      <c r="DC216" s="102"/>
      <c r="DD216" s="102"/>
      <c r="DE216" s="102"/>
      <c r="DF216" s="102"/>
      <c r="DG216" s="102"/>
      <c r="DH216" s="102"/>
      <c r="DI216" s="102"/>
      <c r="DJ216" s="102"/>
      <c r="DK216" s="102"/>
      <c r="DL216" s="102"/>
      <c r="DM216" s="102"/>
      <c r="DN216" s="102"/>
      <c r="DO216" s="102"/>
      <c r="DP216" s="102"/>
      <c r="DQ216" s="102"/>
      <c r="DR216" s="102"/>
      <c r="DS216" s="102"/>
      <c r="DT216" s="102"/>
      <c r="DU216" s="102"/>
      <c r="DV216" s="102"/>
      <c r="DW216" s="102"/>
      <c r="DX216" s="104">
        <v>140</v>
      </c>
      <c r="DY216" s="102">
        <v>29.4</v>
      </c>
      <c r="DZ216" s="102"/>
      <c r="EA216" s="102"/>
    </row>
    <row r="217" spans="1:131" x14ac:dyDescent="0.15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  <c r="CW217" s="102"/>
      <c r="CX217" s="102"/>
      <c r="CY217" s="102"/>
      <c r="CZ217" s="102"/>
      <c r="DA217" s="102"/>
      <c r="DB217" s="102"/>
      <c r="DC217" s="102"/>
      <c r="DD217" s="102"/>
      <c r="DE217" s="102"/>
      <c r="DF217" s="102"/>
      <c r="DG217" s="102"/>
      <c r="DH217" s="102"/>
      <c r="DI217" s="102"/>
      <c r="DJ217" s="102"/>
      <c r="DK217" s="102"/>
      <c r="DL217" s="102"/>
      <c r="DM217" s="102"/>
      <c r="DN217" s="102"/>
      <c r="DO217" s="102"/>
      <c r="DP217" s="102"/>
      <c r="DQ217" s="102"/>
      <c r="DR217" s="102"/>
      <c r="DS217" s="102"/>
      <c r="DT217" s="102"/>
      <c r="DU217" s="102"/>
      <c r="DV217" s="102"/>
      <c r="DW217" s="102"/>
      <c r="DX217" s="104">
        <v>145</v>
      </c>
      <c r="DY217" s="102">
        <v>29.3</v>
      </c>
      <c r="DZ217" s="102"/>
      <c r="EA217" s="102"/>
    </row>
    <row r="218" spans="1:131" x14ac:dyDescent="0.15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  <c r="CW218" s="102"/>
      <c r="CX218" s="102"/>
      <c r="CY218" s="102"/>
      <c r="CZ218" s="102"/>
      <c r="DA218" s="102"/>
      <c r="DB218" s="102"/>
      <c r="DC218" s="102"/>
      <c r="DD218" s="102"/>
      <c r="DE218" s="102"/>
      <c r="DF218" s="102"/>
      <c r="DG218" s="102"/>
      <c r="DH218" s="102"/>
      <c r="DI218" s="102"/>
      <c r="DJ218" s="102"/>
      <c r="DK218" s="102"/>
      <c r="DL218" s="102"/>
      <c r="DM218" s="102"/>
      <c r="DN218" s="102"/>
      <c r="DO218" s="102"/>
      <c r="DP218" s="102"/>
      <c r="DQ218" s="102"/>
      <c r="DR218" s="102"/>
      <c r="DS218" s="102"/>
      <c r="DT218" s="102"/>
      <c r="DU218" s="102"/>
      <c r="DV218" s="102"/>
      <c r="DW218" s="102"/>
      <c r="DX218" s="104">
        <v>150</v>
      </c>
      <c r="DY218" s="102">
        <v>29.2</v>
      </c>
      <c r="DZ218" s="102"/>
      <c r="EA218" s="102"/>
    </row>
    <row r="219" spans="1:131" x14ac:dyDescent="0.15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  <c r="CW219" s="102"/>
      <c r="CX219" s="102"/>
      <c r="CY219" s="102"/>
      <c r="CZ219" s="102"/>
      <c r="DA219" s="102"/>
      <c r="DB219" s="102"/>
      <c r="DC219" s="102"/>
      <c r="DD219" s="102"/>
      <c r="DE219" s="102"/>
      <c r="DF219" s="102"/>
      <c r="DG219" s="102"/>
      <c r="DH219" s="102"/>
      <c r="DI219" s="102"/>
      <c r="DJ219" s="102"/>
      <c r="DK219" s="102"/>
      <c r="DL219" s="102"/>
      <c r="DM219" s="102"/>
      <c r="DN219" s="102"/>
      <c r="DO219" s="102"/>
      <c r="DP219" s="102"/>
      <c r="DQ219" s="102"/>
      <c r="DR219" s="102"/>
      <c r="DS219" s="102"/>
      <c r="DT219" s="102"/>
      <c r="DU219" s="102"/>
      <c r="DV219" s="102"/>
      <c r="DW219" s="102"/>
      <c r="DX219" s="104">
        <v>155</v>
      </c>
      <c r="DY219" s="102">
        <v>29.1</v>
      </c>
      <c r="DZ219" s="102"/>
      <c r="EA219" s="102"/>
    </row>
    <row r="220" spans="1:131" x14ac:dyDescent="0.15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  <c r="CW220" s="102"/>
      <c r="CX220" s="102"/>
      <c r="CY220" s="102"/>
      <c r="CZ220" s="102"/>
      <c r="DA220" s="102"/>
      <c r="DB220" s="102"/>
      <c r="DC220" s="102"/>
      <c r="DD220" s="102"/>
      <c r="DE220" s="102"/>
      <c r="DF220" s="102"/>
      <c r="DG220" s="102"/>
      <c r="DH220" s="102"/>
      <c r="DI220" s="102"/>
      <c r="DJ220" s="102"/>
      <c r="DK220" s="102"/>
      <c r="DL220" s="102"/>
      <c r="DM220" s="102"/>
      <c r="DN220" s="102"/>
      <c r="DO220" s="102"/>
      <c r="DP220" s="102"/>
      <c r="DQ220" s="102"/>
      <c r="DR220" s="102"/>
      <c r="DS220" s="102"/>
      <c r="DT220" s="102"/>
      <c r="DU220" s="102"/>
      <c r="DV220" s="102"/>
      <c r="DW220" s="102"/>
      <c r="DX220" s="104">
        <v>160</v>
      </c>
      <c r="DY220" s="102">
        <v>29</v>
      </c>
      <c r="DZ220" s="102"/>
      <c r="EA220" s="102"/>
    </row>
    <row r="221" spans="1:131" x14ac:dyDescent="0.15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  <c r="CW221" s="102"/>
      <c r="CX221" s="102"/>
      <c r="CY221" s="102"/>
      <c r="CZ221" s="102"/>
      <c r="DA221" s="102"/>
      <c r="DB221" s="102"/>
      <c r="DC221" s="102"/>
      <c r="DD221" s="102"/>
      <c r="DE221" s="102"/>
      <c r="DF221" s="102"/>
      <c r="DG221" s="102"/>
      <c r="DH221" s="102"/>
      <c r="DI221" s="102"/>
      <c r="DJ221" s="102"/>
      <c r="DK221" s="102"/>
      <c r="DL221" s="102"/>
      <c r="DM221" s="102"/>
      <c r="DN221" s="102"/>
      <c r="DO221" s="102"/>
      <c r="DP221" s="102"/>
      <c r="DQ221" s="102"/>
      <c r="DR221" s="102"/>
      <c r="DS221" s="102"/>
      <c r="DT221" s="102"/>
      <c r="DU221" s="102"/>
      <c r="DV221" s="102"/>
      <c r="DW221" s="102"/>
      <c r="DX221" s="104">
        <v>165</v>
      </c>
      <c r="DY221" s="102">
        <v>28.9</v>
      </c>
      <c r="DZ221" s="102"/>
      <c r="EA221" s="102"/>
    </row>
    <row r="222" spans="1:131" x14ac:dyDescent="0.15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  <c r="CW222" s="102"/>
      <c r="CX222" s="102"/>
      <c r="CY222" s="102"/>
      <c r="CZ222" s="102"/>
      <c r="DA222" s="102"/>
      <c r="DB222" s="102"/>
      <c r="DC222" s="102"/>
      <c r="DD222" s="102"/>
      <c r="DE222" s="102"/>
      <c r="DF222" s="102"/>
      <c r="DG222" s="102"/>
      <c r="DH222" s="102"/>
      <c r="DI222" s="102"/>
      <c r="DJ222" s="102"/>
      <c r="DK222" s="102"/>
      <c r="DL222" s="102"/>
      <c r="DM222" s="102"/>
      <c r="DN222" s="102"/>
      <c r="DO222" s="102"/>
      <c r="DP222" s="102"/>
      <c r="DQ222" s="102"/>
      <c r="DR222" s="102"/>
      <c r="DS222" s="102"/>
      <c r="DT222" s="102"/>
      <c r="DU222" s="102"/>
      <c r="DV222" s="102"/>
      <c r="DW222" s="102"/>
      <c r="DX222" s="104">
        <v>170</v>
      </c>
      <c r="DY222" s="102">
        <v>28.8</v>
      </c>
      <c r="DZ222" s="102"/>
      <c r="EA222" s="102"/>
    </row>
    <row r="223" spans="1:131" x14ac:dyDescent="0.15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  <c r="CW223" s="102"/>
      <c r="CX223" s="102"/>
      <c r="CY223" s="102"/>
      <c r="CZ223" s="102"/>
      <c r="DA223" s="102"/>
      <c r="DB223" s="102"/>
      <c r="DC223" s="102"/>
      <c r="DD223" s="102"/>
      <c r="DE223" s="102"/>
      <c r="DF223" s="102"/>
      <c r="DG223" s="102"/>
      <c r="DH223" s="102"/>
      <c r="DI223" s="102"/>
      <c r="DJ223" s="102"/>
      <c r="DK223" s="102"/>
      <c r="DL223" s="102"/>
      <c r="DM223" s="102"/>
      <c r="DN223" s="102"/>
      <c r="DO223" s="102"/>
      <c r="DP223" s="102"/>
      <c r="DQ223" s="102"/>
      <c r="DR223" s="102"/>
      <c r="DS223" s="102"/>
      <c r="DT223" s="102"/>
      <c r="DU223" s="102"/>
      <c r="DV223" s="102"/>
      <c r="DW223" s="102"/>
      <c r="DX223" s="104">
        <v>175</v>
      </c>
      <c r="DY223" s="102">
        <v>28.7</v>
      </c>
      <c r="DZ223" s="102"/>
      <c r="EA223" s="102"/>
    </row>
    <row r="224" spans="1:131" x14ac:dyDescent="0.15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  <c r="CW224" s="102"/>
      <c r="CX224" s="102"/>
      <c r="CY224" s="102"/>
      <c r="CZ224" s="102"/>
      <c r="DA224" s="102"/>
      <c r="DB224" s="102"/>
      <c r="DC224" s="102"/>
      <c r="DD224" s="102"/>
      <c r="DE224" s="102"/>
      <c r="DF224" s="102"/>
      <c r="DG224" s="102"/>
      <c r="DH224" s="102"/>
      <c r="DI224" s="102"/>
      <c r="DJ224" s="102"/>
      <c r="DK224" s="102"/>
      <c r="DL224" s="102"/>
      <c r="DM224" s="102"/>
      <c r="DN224" s="102"/>
      <c r="DO224" s="102"/>
      <c r="DP224" s="102"/>
      <c r="DQ224" s="102"/>
      <c r="DR224" s="102"/>
      <c r="DS224" s="102"/>
      <c r="DT224" s="102"/>
      <c r="DU224" s="102"/>
      <c r="DV224" s="102"/>
      <c r="DW224" s="102"/>
      <c r="DX224" s="104">
        <v>180</v>
      </c>
      <c r="DY224" s="102">
        <v>28.6</v>
      </c>
      <c r="DZ224" s="102"/>
      <c r="EA224" s="102"/>
    </row>
    <row r="225" spans="1:131" x14ac:dyDescent="0.15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  <c r="CW225" s="102"/>
      <c r="CX225" s="102"/>
      <c r="CY225" s="102"/>
      <c r="CZ225" s="102"/>
      <c r="DA225" s="102"/>
      <c r="DB225" s="102"/>
      <c r="DC225" s="102"/>
      <c r="DD225" s="102"/>
      <c r="DE225" s="102"/>
      <c r="DF225" s="102"/>
      <c r="DG225" s="102"/>
      <c r="DH225" s="102"/>
      <c r="DI225" s="102"/>
      <c r="DJ225" s="102"/>
      <c r="DK225" s="102"/>
      <c r="DL225" s="102"/>
      <c r="DM225" s="102"/>
      <c r="DN225" s="102"/>
      <c r="DO225" s="102"/>
      <c r="DP225" s="102"/>
      <c r="DQ225" s="102"/>
      <c r="DR225" s="102"/>
      <c r="DS225" s="102"/>
      <c r="DT225" s="102"/>
      <c r="DU225" s="102"/>
      <c r="DV225" s="102"/>
      <c r="DW225" s="102"/>
      <c r="DX225" s="104">
        <v>185</v>
      </c>
      <c r="DY225" s="102">
        <v>28.5</v>
      </c>
      <c r="DZ225" s="102"/>
      <c r="EA225" s="102"/>
    </row>
    <row r="226" spans="1:131" x14ac:dyDescent="0.15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  <c r="CW226" s="102"/>
      <c r="CX226" s="102"/>
      <c r="CY226" s="102"/>
      <c r="CZ226" s="102"/>
      <c r="DA226" s="102"/>
      <c r="DB226" s="102"/>
      <c r="DC226" s="102"/>
      <c r="DD226" s="102"/>
      <c r="DE226" s="102"/>
      <c r="DF226" s="102"/>
      <c r="DG226" s="102"/>
      <c r="DH226" s="102"/>
      <c r="DI226" s="102"/>
      <c r="DJ226" s="102"/>
      <c r="DK226" s="102"/>
      <c r="DL226" s="102"/>
      <c r="DM226" s="102"/>
      <c r="DN226" s="102"/>
      <c r="DO226" s="102"/>
      <c r="DP226" s="102"/>
      <c r="DQ226" s="102"/>
      <c r="DR226" s="102"/>
      <c r="DS226" s="102"/>
      <c r="DT226" s="102"/>
      <c r="DU226" s="102"/>
      <c r="DV226" s="102"/>
      <c r="DW226" s="102"/>
      <c r="DX226" s="104">
        <v>190</v>
      </c>
      <c r="DY226" s="102">
        <v>28.4</v>
      </c>
      <c r="DZ226" s="102"/>
      <c r="EA226" s="102"/>
    </row>
    <row r="227" spans="1:131" x14ac:dyDescent="0.15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  <c r="CW227" s="102"/>
      <c r="CX227" s="102"/>
      <c r="CY227" s="102"/>
      <c r="CZ227" s="102"/>
      <c r="DA227" s="102"/>
      <c r="DB227" s="102"/>
      <c r="DC227" s="102"/>
      <c r="DD227" s="102"/>
      <c r="DE227" s="102"/>
      <c r="DF227" s="102"/>
      <c r="DG227" s="102"/>
      <c r="DH227" s="102"/>
      <c r="DI227" s="102"/>
      <c r="DJ227" s="102"/>
      <c r="DK227" s="102"/>
      <c r="DL227" s="102"/>
      <c r="DM227" s="102"/>
      <c r="DN227" s="102"/>
      <c r="DO227" s="102"/>
      <c r="DP227" s="102"/>
      <c r="DQ227" s="102"/>
      <c r="DR227" s="102"/>
      <c r="DS227" s="102"/>
      <c r="DT227" s="102"/>
      <c r="DU227" s="102"/>
      <c r="DV227" s="102"/>
      <c r="DW227" s="102"/>
      <c r="DX227" s="104">
        <v>195</v>
      </c>
      <c r="DY227" s="102">
        <v>28.3</v>
      </c>
      <c r="DZ227" s="102"/>
      <c r="EA227" s="102"/>
    </row>
    <row r="228" spans="1:131" x14ac:dyDescent="0.15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  <c r="CW228" s="102"/>
      <c r="CX228" s="102"/>
      <c r="CY228" s="102"/>
      <c r="CZ228" s="102"/>
      <c r="DA228" s="102"/>
      <c r="DB228" s="102"/>
      <c r="DC228" s="102"/>
      <c r="DD228" s="102"/>
      <c r="DE228" s="102"/>
      <c r="DF228" s="102"/>
      <c r="DG228" s="102"/>
      <c r="DH228" s="102"/>
      <c r="DI228" s="102"/>
      <c r="DJ228" s="102"/>
      <c r="DK228" s="102"/>
      <c r="DL228" s="102"/>
      <c r="DM228" s="102"/>
      <c r="DN228" s="102"/>
      <c r="DO228" s="102"/>
      <c r="DP228" s="102"/>
      <c r="DQ228" s="102"/>
      <c r="DR228" s="102"/>
      <c r="DS228" s="102"/>
      <c r="DT228" s="102"/>
      <c r="DU228" s="102"/>
      <c r="DV228" s="102"/>
      <c r="DW228" s="102"/>
      <c r="DX228" s="104">
        <v>200</v>
      </c>
      <c r="DY228" s="102">
        <v>28.2</v>
      </c>
      <c r="DZ228" s="102"/>
      <c r="EA228" s="102"/>
    </row>
    <row r="229" spans="1:131" x14ac:dyDescent="0.15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  <c r="CW229" s="102"/>
      <c r="CX229" s="102"/>
      <c r="CY229" s="102"/>
      <c r="CZ229" s="102"/>
      <c r="DA229" s="102"/>
      <c r="DB229" s="102"/>
      <c r="DC229" s="102"/>
      <c r="DD229" s="102"/>
      <c r="DE229" s="102"/>
      <c r="DF229" s="102"/>
      <c r="DG229" s="102"/>
      <c r="DH229" s="102"/>
      <c r="DI229" s="102"/>
      <c r="DJ229" s="102"/>
      <c r="DK229" s="102"/>
      <c r="DL229" s="102"/>
      <c r="DM229" s="102"/>
      <c r="DN229" s="102"/>
      <c r="DO229" s="102"/>
      <c r="DP229" s="102"/>
      <c r="DQ229" s="102"/>
      <c r="DR229" s="102"/>
      <c r="DS229" s="102"/>
      <c r="DT229" s="102"/>
      <c r="DU229" s="102"/>
      <c r="DV229" s="102"/>
      <c r="DW229" s="102"/>
      <c r="DX229" s="104">
        <v>205</v>
      </c>
      <c r="DY229" s="102">
        <v>28.1</v>
      </c>
      <c r="DZ229" s="102"/>
      <c r="EA229" s="102"/>
    </row>
    <row r="230" spans="1:131" x14ac:dyDescent="0.15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  <c r="CW230" s="102"/>
      <c r="CX230" s="102"/>
      <c r="CY230" s="102"/>
      <c r="CZ230" s="102"/>
      <c r="DA230" s="102"/>
      <c r="DB230" s="102"/>
      <c r="DC230" s="102"/>
      <c r="DD230" s="102"/>
      <c r="DE230" s="102"/>
      <c r="DF230" s="102"/>
      <c r="DG230" s="102"/>
      <c r="DH230" s="102"/>
      <c r="DI230" s="102"/>
      <c r="DJ230" s="102"/>
      <c r="DK230" s="102"/>
      <c r="DL230" s="102"/>
      <c r="DM230" s="102"/>
      <c r="DN230" s="102"/>
      <c r="DO230" s="102"/>
      <c r="DP230" s="102"/>
      <c r="DQ230" s="102"/>
      <c r="DR230" s="102"/>
      <c r="DS230" s="102"/>
      <c r="DT230" s="102"/>
      <c r="DU230" s="102"/>
      <c r="DV230" s="102"/>
      <c r="DW230" s="102"/>
      <c r="DX230" s="104">
        <v>210</v>
      </c>
      <c r="DY230" s="102">
        <v>28</v>
      </c>
      <c r="DZ230" s="102"/>
      <c r="EA230" s="102"/>
    </row>
    <row r="231" spans="1:131" x14ac:dyDescent="0.15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  <c r="CW231" s="102"/>
      <c r="CX231" s="102"/>
      <c r="CY231" s="102"/>
      <c r="CZ231" s="102"/>
      <c r="DA231" s="102"/>
      <c r="DB231" s="102"/>
      <c r="DC231" s="102"/>
      <c r="DD231" s="102"/>
      <c r="DE231" s="102"/>
      <c r="DF231" s="102"/>
      <c r="DG231" s="102"/>
      <c r="DH231" s="102"/>
      <c r="DI231" s="102"/>
      <c r="DJ231" s="102"/>
      <c r="DK231" s="102"/>
      <c r="DL231" s="102"/>
      <c r="DM231" s="102"/>
      <c r="DN231" s="102"/>
      <c r="DO231" s="102"/>
      <c r="DP231" s="102"/>
      <c r="DQ231" s="102"/>
      <c r="DR231" s="102"/>
      <c r="DS231" s="102"/>
      <c r="DT231" s="102"/>
      <c r="DU231" s="102"/>
      <c r="DV231" s="102"/>
      <c r="DW231" s="102"/>
      <c r="DX231" s="104">
        <v>215</v>
      </c>
      <c r="DY231" s="102">
        <v>27.9</v>
      </c>
      <c r="DZ231" s="102"/>
      <c r="EA231" s="102"/>
    </row>
    <row r="232" spans="1:131" x14ac:dyDescent="0.15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  <c r="CW232" s="102"/>
      <c r="CX232" s="102"/>
      <c r="CY232" s="102"/>
      <c r="CZ232" s="102"/>
      <c r="DA232" s="102"/>
      <c r="DB232" s="102"/>
      <c r="DC232" s="102"/>
      <c r="DD232" s="102"/>
      <c r="DE232" s="102"/>
      <c r="DF232" s="102"/>
      <c r="DG232" s="102"/>
      <c r="DH232" s="102"/>
      <c r="DI232" s="102"/>
      <c r="DJ232" s="102"/>
      <c r="DK232" s="102"/>
      <c r="DL232" s="102"/>
      <c r="DM232" s="102"/>
      <c r="DN232" s="102"/>
      <c r="DO232" s="102"/>
      <c r="DP232" s="102"/>
      <c r="DQ232" s="102"/>
      <c r="DR232" s="102"/>
      <c r="DS232" s="102"/>
      <c r="DT232" s="102"/>
      <c r="DU232" s="102"/>
      <c r="DV232" s="102"/>
      <c r="DW232" s="102"/>
      <c r="DX232" s="104">
        <v>220</v>
      </c>
      <c r="DY232" s="102">
        <v>27.8</v>
      </c>
      <c r="DZ232" s="102"/>
      <c r="EA232" s="102"/>
    </row>
    <row r="233" spans="1:131" x14ac:dyDescent="0.15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  <c r="CW233" s="102"/>
      <c r="CX233" s="102"/>
      <c r="CY233" s="102"/>
      <c r="CZ233" s="102"/>
      <c r="DA233" s="102"/>
      <c r="DB233" s="102"/>
      <c r="DC233" s="102"/>
      <c r="DD233" s="102"/>
      <c r="DE233" s="102"/>
      <c r="DF233" s="102"/>
      <c r="DG233" s="102"/>
      <c r="DH233" s="102"/>
      <c r="DI233" s="102"/>
      <c r="DJ233" s="102"/>
      <c r="DK233" s="102"/>
      <c r="DL233" s="102"/>
      <c r="DM233" s="102"/>
      <c r="DN233" s="102"/>
      <c r="DO233" s="102"/>
      <c r="DP233" s="102"/>
      <c r="DQ233" s="102"/>
      <c r="DR233" s="102"/>
      <c r="DS233" s="102"/>
      <c r="DT233" s="102"/>
      <c r="DU233" s="102"/>
      <c r="DV233" s="102"/>
      <c r="DW233" s="102"/>
      <c r="DX233" s="104">
        <v>225</v>
      </c>
      <c r="DY233" s="102">
        <v>27.7</v>
      </c>
      <c r="DZ233" s="102"/>
      <c r="EA233" s="102"/>
    </row>
    <row r="234" spans="1:131" x14ac:dyDescent="0.15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  <c r="CW234" s="102"/>
      <c r="CX234" s="102"/>
      <c r="CY234" s="102"/>
      <c r="CZ234" s="102"/>
      <c r="DA234" s="102"/>
      <c r="DB234" s="102"/>
      <c r="DC234" s="102"/>
      <c r="DD234" s="102"/>
      <c r="DE234" s="102"/>
      <c r="DF234" s="102"/>
      <c r="DG234" s="102"/>
      <c r="DH234" s="102"/>
      <c r="DI234" s="102"/>
      <c r="DJ234" s="102"/>
      <c r="DK234" s="102"/>
      <c r="DL234" s="102"/>
      <c r="DM234" s="102"/>
      <c r="DN234" s="102"/>
      <c r="DO234" s="102"/>
      <c r="DP234" s="102"/>
      <c r="DQ234" s="102"/>
      <c r="DR234" s="102"/>
      <c r="DS234" s="102"/>
      <c r="DT234" s="102"/>
      <c r="DU234" s="102"/>
      <c r="DV234" s="102"/>
      <c r="DW234" s="102"/>
      <c r="DX234" s="104">
        <v>230</v>
      </c>
      <c r="DY234" s="102">
        <v>27.6</v>
      </c>
      <c r="DZ234" s="102"/>
      <c r="EA234" s="102"/>
    </row>
    <row r="235" spans="1:131" x14ac:dyDescent="0.15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  <c r="CW235" s="102"/>
      <c r="CX235" s="102"/>
      <c r="CY235" s="102"/>
      <c r="CZ235" s="102"/>
      <c r="DA235" s="102"/>
      <c r="DB235" s="102"/>
      <c r="DC235" s="102"/>
      <c r="DD235" s="102"/>
      <c r="DE235" s="102"/>
      <c r="DF235" s="102"/>
      <c r="DG235" s="102"/>
      <c r="DH235" s="102"/>
      <c r="DI235" s="102"/>
      <c r="DJ235" s="102"/>
      <c r="DK235" s="102"/>
      <c r="DL235" s="102"/>
      <c r="DM235" s="102"/>
      <c r="DN235" s="102"/>
      <c r="DO235" s="102"/>
      <c r="DP235" s="102"/>
      <c r="DQ235" s="102"/>
      <c r="DR235" s="102"/>
      <c r="DS235" s="102"/>
      <c r="DT235" s="102"/>
      <c r="DU235" s="102"/>
      <c r="DV235" s="102"/>
      <c r="DW235" s="102"/>
      <c r="DX235" s="104">
        <v>235</v>
      </c>
      <c r="DY235" s="102">
        <v>27.5</v>
      </c>
      <c r="DZ235" s="102"/>
      <c r="EA235" s="102"/>
    </row>
    <row r="236" spans="1:131" x14ac:dyDescent="0.15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  <c r="CW236" s="102"/>
      <c r="CX236" s="102"/>
      <c r="CY236" s="102"/>
      <c r="CZ236" s="102"/>
      <c r="DA236" s="102"/>
      <c r="DB236" s="102"/>
      <c r="DC236" s="102"/>
      <c r="DD236" s="102"/>
      <c r="DE236" s="102"/>
      <c r="DF236" s="102"/>
      <c r="DG236" s="102"/>
      <c r="DH236" s="102"/>
      <c r="DI236" s="102"/>
      <c r="DJ236" s="102"/>
      <c r="DK236" s="102"/>
      <c r="DL236" s="102"/>
      <c r="DM236" s="102"/>
      <c r="DN236" s="102"/>
      <c r="DO236" s="102"/>
      <c r="DP236" s="102"/>
      <c r="DQ236" s="102"/>
      <c r="DR236" s="102"/>
      <c r="DS236" s="102"/>
      <c r="DT236" s="102"/>
      <c r="DU236" s="102"/>
      <c r="DV236" s="102"/>
      <c r="DW236" s="102"/>
      <c r="DX236" s="104">
        <v>240</v>
      </c>
      <c r="DY236" s="102">
        <v>27.4</v>
      </c>
      <c r="DZ236" s="102"/>
      <c r="EA236" s="102"/>
    </row>
    <row r="237" spans="1:131" x14ac:dyDescent="0.15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  <c r="CW237" s="102"/>
      <c r="CX237" s="102"/>
      <c r="CY237" s="102"/>
      <c r="CZ237" s="102"/>
      <c r="DA237" s="102"/>
      <c r="DB237" s="102"/>
      <c r="DC237" s="102"/>
      <c r="DD237" s="102"/>
      <c r="DE237" s="102"/>
      <c r="DF237" s="102"/>
      <c r="DG237" s="102"/>
      <c r="DH237" s="102"/>
      <c r="DI237" s="102"/>
      <c r="DJ237" s="102"/>
      <c r="DK237" s="102"/>
      <c r="DL237" s="102"/>
      <c r="DM237" s="102"/>
      <c r="DN237" s="102"/>
      <c r="DO237" s="102"/>
      <c r="DP237" s="102"/>
      <c r="DQ237" s="102"/>
      <c r="DR237" s="102"/>
      <c r="DS237" s="102"/>
      <c r="DT237" s="102"/>
      <c r="DU237" s="102"/>
      <c r="DV237" s="102"/>
      <c r="DW237" s="102"/>
      <c r="DX237" s="104">
        <v>245</v>
      </c>
      <c r="DY237" s="102">
        <v>27.3</v>
      </c>
      <c r="DZ237" s="102"/>
      <c r="EA237" s="102"/>
    </row>
    <row r="238" spans="1:131" x14ac:dyDescent="0.15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  <c r="CW238" s="102"/>
      <c r="CX238" s="102"/>
      <c r="CY238" s="102"/>
      <c r="CZ238" s="102"/>
      <c r="DA238" s="102"/>
      <c r="DB238" s="102"/>
      <c r="DC238" s="102"/>
      <c r="DD238" s="102"/>
      <c r="DE238" s="102"/>
      <c r="DF238" s="102"/>
      <c r="DG238" s="102"/>
      <c r="DH238" s="102"/>
      <c r="DI238" s="102"/>
      <c r="DJ238" s="102"/>
      <c r="DK238" s="102"/>
      <c r="DL238" s="102"/>
      <c r="DM238" s="102"/>
      <c r="DN238" s="102"/>
      <c r="DO238" s="102"/>
      <c r="DP238" s="102"/>
      <c r="DQ238" s="102"/>
      <c r="DR238" s="102"/>
      <c r="DS238" s="102"/>
      <c r="DT238" s="102"/>
      <c r="DU238" s="102"/>
      <c r="DV238" s="102"/>
      <c r="DW238" s="102"/>
      <c r="DX238" s="104">
        <v>250</v>
      </c>
      <c r="DY238" s="102">
        <v>27.2</v>
      </c>
      <c r="DZ238" s="102"/>
      <c r="EA238" s="102"/>
    </row>
    <row r="239" spans="1:131" x14ac:dyDescent="0.15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  <c r="CW239" s="102"/>
      <c r="CX239" s="102"/>
      <c r="CY239" s="102"/>
      <c r="CZ239" s="102"/>
      <c r="DA239" s="102"/>
      <c r="DB239" s="102"/>
      <c r="DC239" s="102"/>
      <c r="DD239" s="102"/>
      <c r="DE239" s="102"/>
      <c r="DF239" s="102"/>
      <c r="DG239" s="102"/>
      <c r="DH239" s="102"/>
      <c r="DI239" s="102"/>
      <c r="DJ239" s="102"/>
      <c r="DK239" s="102"/>
      <c r="DL239" s="102"/>
      <c r="DM239" s="102"/>
      <c r="DN239" s="102"/>
      <c r="DO239" s="102"/>
      <c r="DP239" s="102"/>
      <c r="DQ239" s="102"/>
      <c r="DR239" s="102"/>
      <c r="DS239" s="102"/>
      <c r="DT239" s="102"/>
      <c r="DU239" s="102"/>
      <c r="DV239" s="102"/>
      <c r="DW239" s="102"/>
      <c r="DX239" s="103">
        <v>260</v>
      </c>
      <c r="DY239" s="102">
        <v>27.1</v>
      </c>
      <c r="DZ239" s="102"/>
      <c r="EA239" s="102"/>
    </row>
    <row r="240" spans="1:131" x14ac:dyDescent="0.15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  <c r="CW240" s="102"/>
      <c r="CX240" s="102"/>
      <c r="CY240" s="102"/>
      <c r="CZ240" s="102"/>
      <c r="DA240" s="102"/>
      <c r="DB240" s="102"/>
      <c r="DC240" s="102"/>
      <c r="DD240" s="102"/>
      <c r="DE240" s="102"/>
      <c r="DF240" s="102"/>
      <c r="DG240" s="102"/>
      <c r="DH240" s="102"/>
      <c r="DI240" s="102"/>
      <c r="DJ240" s="102"/>
      <c r="DK240" s="102"/>
      <c r="DL240" s="102"/>
      <c r="DM240" s="102"/>
      <c r="DN240" s="102"/>
      <c r="DO240" s="102"/>
      <c r="DP240" s="102"/>
      <c r="DQ240" s="102"/>
      <c r="DR240" s="102"/>
      <c r="DS240" s="102"/>
      <c r="DT240" s="102"/>
      <c r="DU240" s="102"/>
      <c r="DV240" s="102"/>
      <c r="DW240" s="102"/>
      <c r="DX240" s="103">
        <v>270</v>
      </c>
      <c r="DY240" s="102">
        <v>27</v>
      </c>
      <c r="DZ240" s="102"/>
      <c r="EA240" s="102"/>
    </row>
    <row r="241" spans="1:131" x14ac:dyDescent="0.15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  <c r="CW241" s="102"/>
      <c r="CX241" s="102"/>
      <c r="CY241" s="102"/>
      <c r="CZ241" s="102"/>
      <c r="DA241" s="102"/>
      <c r="DB241" s="102"/>
      <c r="DC241" s="102"/>
      <c r="DD241" s="102"/>
      <c r="DE241" s="102"/>
      <c r="DF241" s="102"/>
      <c r="DG241" s="102"/>
      <c r="DH241" s="102"/>
      <c r="DI241" s="102"/>
      <c r="DJ241" s="102"/>
      <c r="DK241" s="102"/>
      <c r="DL241" s="102"/>
      <c r="DM241" s="102"/>
      <c r="DN241" s="102"/>
      <c r="DO241" s="102"/>
      <c r="DP241" s="102"/>
      <c r="DQ241" s="102"/>
      <c r="DR241" s="102"/>
      <c r="DS241" s="102"/>
      <c r="DT241" s="102"/>
      <c r="DU241" s="102"/>
      <c r="DV241" s="102"/>
      <c r="DW241" s="102"/>
      <c r="DX241" s="103">
        <v>280</v>
      </c>
      <c r="DY241" s="102">
        <v>26.9</v>
      </c>
      <c r="DZ241" s="102"/>
      <c r="EA241" s="102"/>
    </row>
    <row r="242" spans="1:131" x14ac:dyDescent="0.15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  <c r="CW242" s="102"/>
      <c r="CX242" s="102"/>
      <c r="CY242" s="102"/>
      <c r="CZ242" s="102"/>
      <c r="DA242" s="102"/>
      <c r="DB242" s="102"/>
      <c r="DC242" s="102"/>
      <c r="DD242" s="102"/>
      <c r="DE242" s="102"/>
      <c r="DF242" s="102"/>
      <c r="DG242" s="102"/>
      <c r="DH242" s="102"/>
      <c r="DI242" s="102"/>
      <c r="DJ242" s="102"/>
      <c r="DK242" s="102"/>
      <c r="DL242" s="102"/>
      <c r="DM242" s="102"/>
      <c r="DN242" s="102"/>
      <c r="DO242" s="102"/>
      <c r="DP242" s="102"/>
      <c r="DQ242" s="102"/>
      <c r="DR242" s="102"/>
      <c r="DS242" s="102"/>
      <c r="DT242" s="102"/>
      <c r="DU242" s="102"/>
      <c r="DV242" s="102"/>
      <c r="DW242" s="102"/>
      <c r="DX242" s="103">
        <v>290</v>
      </c>
      <c r="DY242" s="102">
        <v>26.8</v>
      </c>
      <c r="DZ242" s="102"/>
      <c r="EA242" s="102"/>
    </row>
    <row r="243" spans="1:131" x14ac:dyDescent="0.15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  <c r="CW243" s="102"/>
      <c r="CX243" s="102"/>
      <c r="CY243" s="102"/>
      <c r="CZ243" s="102"/>
      <c r="DA243" s="102"/>
      <c r="DB243" s="102"/>
      <c r="DC243" s="102"/>
      <c r="DD243" s="102"/>
      <c r="DE243" s="102"/>
      <c r="DF243" s="102"/>
      <c r="DG243" s="102"/>
      <c r="DH243" s="102"/>
      <c r="DI243" s="102"/>
      <c r="DJ243" s="102"/>
      <c r="DK243" s="102"/>
      <c r="DL243" s="102"/>
      <c r="DM243" s="102"/>
      <c r="DN243" s="102"/>
      <c r="DO243" s="102"/>
      <c r="DP243" s="102"/>
      <c r="DQ243" s="102"/>
      <c r="DR243" s="102"/>
      <c r="DS243" s="102"/>
      <c r="DT243" s="102"/>
      <c r="DU243" s="102"/>
      <c r="DV243" s="102"/>
      <c r="DW243" s="102"/>
      <c r="DX243" s="103">
        <v>300</v>
      </c>
      <c r="DY243" s="102">
        <v>26.7</v>
      </c>
      <c r="DZ243" s="102"/>
      <c r="EA243" s="102"/>
    </row>
    <row r="244" spans="1:131" x14ac:dyDescent="0.15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  <c r="CW244" s="102"/>
      <c r="CX244" s="102"/>
      <c r="CY244" s="102"/>
      <c r="CZ244" s="102"/>
      <c r="DA244" s="102"/>
      <c r="DB244" s="102"/>
      <c r="DC244" s="102"/>
      <c r="DD244" s="102"/>
      <c r="DE244" s="102"/>
      <c r="DF244" s="102"/>
      <c r="DG244" s="102"/>
      <c r="DH244" s="102"/>
      <c r="DI244" s="102"/>
      <c r="DJ244" s="102"/>
      <c r="DK244" s="102"/>
      <c r="DL244" s="102"/>
      <c r="DM244" s="102"/>
      <c r="DN244" s="102"/>
      <c r="DO244" s="102"/>
      <c r="DP244" s="102"/>
      <c r="DQ244" s="102"/>
      <c r="DR244" s="102"/>
      <c r="DS244" s="102"/>
      <c r="DT244" s="102"/>
      <c r="DU244" s="102"/>
      <c r="DV244" s="102"/>
      <c r="DW244" s="102"/>
      <c r="DX244" s="103">
        <v>350</v>
      </c>
      <c r="DY244" s="102">
        <v>26.6</v>
      </c>
      <c r="DZ244" s="102"/>
      <c r="EA244" s="102"/>
    </row>
    <row r="245" spans="1:131" x14ac:dyDescent="0.15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  <c r="CW245" s="102"/>
      <c r="CX245" s="102"/>
      <c r="CY245" s="102"/>
      <c r="CZ245" s="102"/>
      <c r="DA245" s="102"/>
      <c r="DB245" s="102"/>
      <c r="DC245" s="102"/>
      <c r="DD245" s="102"/>
      <c r="DE245" s="102"/>
      <c r="DF245" s="102"/>
      <c r="DG245" s="102"/>
      <c r="DH245" s="102"/>
      <c r="DI245" s="102"/>
      <c r="DJ245" s="102"/>
      <c r="DK245" s="102"/>
      <c r="DL245" s="102"/>
      <c r="DM245" s="102"/>
      <c r="DN245" s="102"/>
      <c r="DO245" s="102"/>
      <c r="DP245" s="102"/>
      <c r="DQ245" s="102"/>
      <c r="DR245" s="102"/>
      <c r="DS245" s="102"/>
      <c r="DT245" s="102"/>
      <c r="DU245" s="102"/>
      <c r="DV245" s="102"/>
      <c r="DW245" s="102"/>
      <c r="DX245" s="103">
        <v>400</v>
      </c>
      <c r="DY245" s="102">
        <v>26.5</v>
      </c>
      <c r="DZ245" s="102"/>
      <c r="EA245" s="102"/>
    </row>
    <row r="246" spans="1:131" x14ac:dyDescent="0.15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  <c r="CW246" s="102"/>
      <c r="CX246" s="102"/>
      <c r="CY246" s="102"/>
      <c r="CZ246" s="102"/>
      <c r="DA246" s="102"/>
      <c r="DB246" s="102"/>
      <c r="DC246" s="102"/>
      <c r="DD246" s="102"/>
      <c r="DE246" s="102"/>
      <c r="DF246" s="102"/>
      <c r="DG246" s="102"/>
      <c r="DH246" s="102"/>
      <c r="DI246" s="102"/>
      <c r="DJ246" s="102"/>
      <c r="DK246" s="102"/>
      <c r="DL246" s="102"/>
      <c r="DM246" s="102"/>
      <c r="DN246" s="102"/>
      <c r="DO246" s="102"/>
      <c r="DP246" s="102"/>
      <c r="DQ246" s="102"/>
      <c r="DR246" s="102"/>
      <c r="DS246" s="102"/>
      <c r="DT246" s="102"/>
      <c r="DU246" s="102"/>
      <c r="DV246" s="102"/>
      <c r="DW246" s="102"/>
      <c r="DX246" s="103">
        <v>450</v>
      </c>
      <c r="DY246" s="102">
        <v>26.4</v>
      </c>
      <c r="DZ246" s="102"/>
      <c r="EA246" s="102"/>
    </row>
    <row r="247" spans="1:131" x14ac:dyDescent="0.15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  <c r="CW247" s="102"/>
      <c r="CX247" s="102"/>
      <c r="CY247" s="102"/>
      <c r="CZ247" s="102"/>
      <c r="DA247" s="102"/>
      <c r="DB247" s="102"/>
      <c r="DC247" s="102"/>
      <c r="DD247" s="102"/>
      <c r="DE247" s="102"/>
      <c r="DF247" s="102"/>
      <c r="DG247" s="102"/>
      <c r="DH247" s="102"/>
      <c r="DI247" s="102"/>
      <c r="DJ247" s="102"/>
      <c r="DK247" s="102"/>
      <c r="DL247" s="102"/>
      <c r="DM247" s="102"/>
      <c r="DN247" s="102"/>
      <c r="DO247" s="102"/>
      <c r="DP247" s="102"/>
      <c r="DQ247" s="102"/>
      <c r="DR247" s="102"/>
      <c r="DS247" s="102"/>
      <c r="DT247" s="102"/>
      <c r="DU247" s="102"/>
      <c r="DV247" s="102"/>
      <c r="DW247" s="102"/>
      <c r="DX247" s="103">
        <v>500</v>
      </c>
      <c r="DY247" s="102">
        <v>26.3</v>
      </c>
      <c r="DZ247" s="102"/>
      <c r="EA247" s="102"/>
    </row>
    <row r="248" spans="1:131" x14ac:dyDescent="0.15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  <c r="CW248" s="102"/>
      <c r="CX248" s="102"/>
      <c r="CY248" s="102"/>
      <c r="CZ248" s="102"/>
      <c r="DA248" s="102"/>
      <c r="DB248" s="102"/>
      <c r="DC248" s="102"/>
      <c r="DD248" s="102"/>
      <c r="DE248" s="102"/>
      <c r="DF248" s="102"/>
      <c r="DG248" s="102"/>
      <c r="DH248" s="102"/>
      <c r="DI248" s="102"/>
      <c r="DJ248" s="102"/>
      <c r="DK248" s="102"/>
      <c r="DL248" s="102"/>
      <c r="DM248" s="102"/>
      <c r="DN248" s="102"/>
      <c r="DO248" s="102"/>
      <c r="DP248" s="102"/>
      <c r="DQ248" s="102"/>
      <c r="DR248" s="102"/>
      <c r="DS248" s="102"/>
      <c r="DT248" s="102"/>
      <c r="DU248" s="102"/>
      <c r="DV248" s="102"/>
      <c r="DW248" s="102"/>
      <c r="DX248" s="103">
        <v>600</v>
      </c>
      <c r="DY248" s="102">
        <v>26.2</v>
      </c>
      <c r="DZ248" s="102"/>
      <c r="EA248" s="102"/>
    </row>
    <row r="249" spans="1:131" x14ac:dyDescent="0.15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  <c r="CW249" s="102"/>
      <c r="CX249" s="102"/>
      <c r="CY249" s="102"/>
      <c r="CZ249" s="102"/>
      <c r="DA249" s="102"/>
      <c r="DB249" s="102"/>
      <c r="DC249" s="102"/>
      <c r="DD249" s="102"/>
      <c r="DE249" s="102"/>
      <c r="DF249" s="102"/>
      <c r="DG249" s="102"/>
      <c r="DH249" s="102"/>
      <c r="DI249" s="102"/>
      <c r="DJ249" s="102"/>
      <c r="DK249" s="102"/>
      <c r="DL249" s="102"/>
      <c r="DM249" s="102"/>
      <c r="DN249" s="102"/>
      <c r="DO249" s="102"/>
      <c r="DP249" s="102"/>
      <c r="DQ249" s="102"/>
      <c r="DR249" s="102"/>
      <c r="DS249" s="102"/>
      <c r="DT249" s="102"/>
      <c r="DU249" s="102"/>
      <c r="DV249" s="102"/>
      <c r="DW249" s="102"/>
      <c r="DX249" s="103">
        <v>700</v>
      </c>
      <c r="DY249" s="102">
        <v>26.1</v>
      </c>
      <c r="DZ249" s="102"/>
      <c r="EA249" s="102"/>
    </row>
    <row r="250" spans="1:131" x14ac:dyDescent="0.15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  <c r="CW250" s="102"/>
      <c r="CX250" s="102"/>
      <c r="CY250" s="102"/>
      <c r="CZ250" s="102"/>
      <c r="DA250" s="102"/>
      <c r="DB250" s="102"/>
      <c r="DC250" s="102"/>
      <c r="DD250" s="102"/>
      <c r="DE250" s="102"/>
      <c r="DF250" s="102"/>
      <c r="DG250" s="102"/>
      <c r="DH250" s="102"/>
      <c r="DI250" s="102"/>
      <c r="DJ250" s="102"/>
      <c r="DK250" s="102"/>
      <c r="DL250" s="102"/>
      <c r="DM250" s="102"/>
      <c r="DN250" s="102"/>
      <c r="DO250" s="102"/>
      <c r="DP250" s="102"/>
      <c r="DQ250" s="102"/>
      <c r="DR250" s="102"/>
      <c r="DS250" s="102"/>
      <c r="DT250" s="102"/>
      <c r="DU250" s="102"/>
      <c r="DV250" s="102"/>
      <c r="DW250" s="102"/>
      <c r="DX250" s="103">
        <v>800</v>
      </c>
      <c r="DY250" s="102">
        <v>26</v>
      </c>
      <c r="DZ250" s="102"/>
      <c r="EA250" s="102"/>
    </row>
    <row r="251" spans="1:131" x14ac:dyDescent="0.15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  <c r="CW251" s="102"/>
      <c r="CX251" s="102"/>
      <c r="CY251" s="102"/>
      <c r="CZ251" s="102"/>
      <c r="DA251" s="102"/>
      <c r="DB251" s="102"/>
      <c r="DC251" s="102"/>
      <c r="DD251" s="102"/>
      <c r="DE251" s="102"/>
      <c r="DF251" s="102"/>
      <c r="DG251" s="102"/>
      <c r="DH251" s="102"/>
      <c r="DI251" s="102"/>
      <c r="DJ251" s="102"/>
      <c r="DK251" s="102"/>
      <c r="DL251" s="102"/>
      <c r="DM251" s="102"/>
      <c r="DN251" s="102"/>
      <c r="DO251" s="102"/>
      <c r="DP251" s="102"/>
      <c r="DQ251" s="102"/>
      <c r="DR251" s="102"/>
      <c r="DS251" s="102"/>
      <c r="DT251" s="102"/>
      <c r="DU251" s="102"/>
      <c r="DV251" s="102"/>
      <c r="DW251" s="102"/>
      <c r="DX251" s="103">
        <v>900</v>
      </c>
      <c r="DY251" s="102">
        <v>25.9</v>
      </c>
      <c r="DZ251" s="102"/>
      <c r="EA251" s="102"/>
    </row>
    <row r="252" spans="1:131" x14ac:dyDescent="0.15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  <c r="CW252" s="102"/>
      <c r="CX252" s="102"/>
      <c r="CY252" s="102"/>
      <c r="CZ252" s="102"/>
      <c r="DA252" s="102"/>
      <c r="DB252" s="102"/>
      <c r="DC252" s="102"/>
      <c r="DD252" s="102"/>
      <c r="DE252" s="102"/>
      <c r="DF252" s="102"/>
      <c r="DG252" s="102"/>
      <c r="DH252" s="102"/>
      <c r="DI252" s="102"/>
      <c r="DJ252" s="102"/>
      <c r="DK252" s="102"/>
      <c r="DL252" s="102"/>
      <c r="DM252" s="102"/>
      <c r="DN252" s="102"/>
      <c r="DO252" s="102"/>
      <c r="DP252" s="102"/>
      <c r="DQ252" s="102"/>
      <c r="DR252" s="102"/>
      <c r="DS252" s="102"/>
      <c r="DT252" s="102"/>
      <c r="DU252" s="102"/>
      <c r="DV252" s="102"/>
      <c r="DW252" s="102"/>
      <c r="DX252" s="103">
        <v>1000</v>
      </c>
      <c r="DY252" s="102">
        <v>25.8</v>
      </c>
      <c r="DZ252" s="102"/>
      <c r="EA252" s="102"/>
    </row>
    <row r="253" spans="1:131" x14ac:dyDescent="0.15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  <c r="CW253" s="102"/>
      <c r="CX253" s="102"/>
      <c r="CY253" s="102"/>
      <c r="CZ253" s="102"/>
      <c r="DA253" s="102"/>
      <c r="DB253" s="102"/>
      <c r="DC253" s="102"/>
      <c r="DD253" s="102"/>
      <c r="DE253" s="102"/>
      <c r="DF253" s="102"/>
      <c r="DG253" s="102"/>
      <c r="DH253" s="102"/>
      <c r="DI253" s="102"/>
      <c r="DJ253" s="102"/>
      <c r="DK253" s="102"/>
      <c r="DL253" s="102"/>
      <c r="DM253" s="102"/>
      <c r="DN253" s="102"/>
      <c r="DO253" s="102"/>
      <c r="DP253" s="102"/>
      <c r="DQ253" s="102"/>
      <c r="DR253" s="102"/>
      <c r="DS253" s="102"/>
      <c r="DT253" s="102"/>
      <c r="DU253" s="102"/>
      <c r="DV253" s="102"/>
      <c r="DW253" s="102"/>
      <c r="DX253" s="102"/>
      <c r="DY253" s="102">
        <v>25.7</v>
      </c>
      <c r="DZ253" s="102"/>
      <c r="EA253" s="102"/>
    </row>
    <row r="254" spans="1:131" x14ac:dyDescent="0.15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  <c r="CW254" s="102"/>
      <c r="CX254" s="102"/>
      <c r="CY254" s="102"/>
      <c r="CZ254" s="102"/>
      <c r="DA254" s="102"/>
      <c r="DB254" s="102"/>
      <c r="DC254" s="102"/>
      <c r="DD254" s="102"/>
      <c r="DE254" s="102"/>
      <c r="DF254" s="102"/>
      <c r="DG254" s="102"/>
      <c r="DH254" s="102"/>
      <c r="DI254" s="102"/>
      <c r="DJ254" s="102"/>
      <c r="DK254" s="102"/>
      <c r="DL254" s="102"/>
      <c r="DM254" s="102"/>
      <c r="DN254" s="102"/>
      <c r="DO254" s="102"/>
      <c r="DP254" s="102"/>
      <c r="DQ254" s="102"/>
      <c r="DR254" s="102"/>
      <c r="DS254" s="102"/>
      <c r="DT254" s="102"/>
      <c r="DU254" s="102"/>
      <c r="DV254" s="102"/>
      <c r="DW254" s="102"/>
      <c r="DX254" s="102"/>
      <c r="DY254" s="102">
        <v>25.6</v>
      </c>
      <c r="DZ254" s="102"/>
      <c r="EA254" s="102"/>
    </row>
    <row r="255" spans="1:131" x14ac:dyDescent="0.15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  <c r="CW255" s="102"/>
      <c r="CX255" s="102"/>
      <c r="CY255" s="102"/>
      <c r="CZ255" s="102"/>
      <c r="DA255" s="102"/>
      <c r="DB255" s="102"/>
      <c r="DC255" s="102"/>
      <c r="DD255" s="102"/>
      <c r="DE255" s="102"/>
      <c r="DF255" s="102"/>
      <c r="DG255" s="102"/>
      <c r="DH255" s="102"/>
      <c r="DI255" s="102"/>
      <c r="DJ255" s="102"/>
      <c r="DK255" s="102"/>
      <c r="DL255" s="102"/>
      <c r="DM255" s="102"/>
      <c r="DN255" s="102"/>
      <c r="DO255" s="102"/>
      <c r="DP255" s="102"/>
      <c r="DQ255" s="102"/>
      <c r="DR255" s="102"/>
      <c r="DS255" s="102"/>
      <c r="DT255" s="102"/>
      <c r="DU255" s="102"/>
      <c r="DV255" s="102"/>
      <c r="DW255" s="102"/>
      <c r="DX255" s="102"/>
      <c r="DY255" s="102">
        <v>25.5</v>
      </c>
      <c r="DZ255" s="102"/>
      <c r="EA255" s="102"/>
    </row>
    <row r="256" spans="1:131" x14ac:dyDescent="0.15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  <c r="CW256" s="102"/>
      <c r="CX256" s="102"/>
      <c r="CY256" s="102"/>
      <c r="CZ256" s="102"/>
      <c r="DA256" s="102"/>
      <c r="DB256" s="102"/>
      <c r="DC256" s="102"/>
      <c r="DD256" s="102"/>
      <c r="DE256" s="102"/>
      <c r="DF256" s="102"/>
      <c r="DG256" s="102"/>
      <c r="DH256" s="102"/>
      <c r="DI256" s="102"/>
      <c r="DJ256" s="102"/>
      <c r="DK256" s="102"/>
      <c r="DL256" s="102"/>
      <c r="DM256" s="102"/>
      <c r="DN256" s="102"/>
      <c r="DO256" s="102"/>
      <c r="DP256" s="102"/>
      <c r="DQ256" s="102"/>
      <c r="DR256" s="102"/>
      <c r="DS256" s="102"/>
      <c r="DT256" s="102"/>
      <c r="DU256" s="102"/>
      <c r="DV256" s="102"/>
      <c r="DW256" s="102"/>
      <c r="DX256" s="102"/>
      <c r="DY256" s="102">
        <v>25.4</v>
      </c>
      <c r="DZ256" s="102"/>
      <c r="EA256" s="102"/>
    </row>
    <row r="257" spans="1:131" x14ac:dyDescent="0.15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  <c r="CW257" s="102"/>
      <c r="CX257" s="102"/>
      <c r="CY257" s="102"/>
      <c r="CZ257" s="102"/>
      <c r="DA257" s="102"/>
      <c r="DB257" s="102"/>
      <c r="DC257" s="102"/>
      <c r="DD257" s="102"/>
      <c r="DE257" s="102"/>
      <c r="DF257" s="102"/>
      <c r="DG257" s="102"/>
      <c r="DH257" s="102"/>
      <c r="DI257" s="102"/>
      <c r="DJ257" s="102"/>
      <c r="DK257" s="102"/>
      <c r="DL257" s="102"/>
      <c r="DM257" s="102"/>
      <c r="DN257" s="102"/>
      <c r="DO257" s="102"/>
      <c r="DP257" s="102"/>
      <c r="DQ257" s="102"/>
      <c r="DR257" s="102"/>
      <c r="DS257" s="102"/>
      <c r="DT257" s="102"/>
      <c r="DU257" s="102"/>
      <c r="DV257" s="102"/>
      <c r="DW257" s="102"/>
      <c r="DX257" s="102"/>
      <c r="DY257" s="102">
        <v>25.3</v>
      </c>
      <c r="DZ257" s="102"/>
      <c r="EA257" s="102"/>
    </row>
    <row r="258" spans="1:131" x14ac:dyDescent="0.15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  <c r="CW258" s="102"/>
      <c r="CX258" s="102"/>
      <c r="CY258" s="102"/>
      <c r="CZ258" s="102"/>
      <c r="DA258" s="102"/>
      <c r="DB258" s="102"/>
      <c r="DC258" s="102"/>
      <c r="DD258" s="102"/>
      <c r="DE258" s="102"/>
      <c r="DF258" s="102"/>
      <c r="DG258" s="102"/>
      <c r="DH258" s="102"/>
      <c r="DI258" s="102"/>
      <c r="DJ258" s="102"/>
      <c r="DK258" s="102"/>
      <c r="DL258" s="102"/>
      <c r="DM258" s="102"/>
      <c r="DN258" s="102"/>
      <c r="DO258" s="102"/>
      <c r="DP258" s="102"/>
      <c r="DQ258" s="102"/>
      <c r="DR258" s="102"/>
      <c r="DS258" s="102"/>
      <c r="DT258" s="102"/>
      <c r="DU258" s="102"/>
      <c r="DV258" s="102"/>
      <c r="DW258" s="102"/>
      <c r="DX258" s="102"/>
      <c r="DY258" s="102">
        <v>25.2</v>
      </c>
      <c r="DZ258" s="102"/>
      <c r="EA258" s="102"/>
    </row>
    <row r="259" spans="1:131" x14ac:dyDescent="0.15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  <c r="CW259" s="102"/>
      <c r="CX259" s="102"/>
      <c r="CY259" s="102"/>
      <c r="CZ259" s="102"/>
      <c r="DA259" s="102"/>
      <c r="DB259" s="102"/>
      <c r="DC259" s="102"/>
      <c r="DD259" s="102"/>
      <c r="DE259" s="102"/>
      <c r="DF259" s="102"/>
      <c r="DG259" s="102"/>
      <c r="DH259" s="102"/>
      <c r="DI259" s="102"/>
      <c r="DJ259" s="102"/>
      <c r="DK259" s="102"/>
      <c r="DL259" s="102"/>
      <c r="DM259" s="102"/>
      <c r="DN259" s="102"/>
      <c r="DO259" s="102"/>
      <c r="DP259" s="102"/>
      <c r="DQ259" s="102"/>
      <c r="DR259" s="102"/>
      <c r="DS259" s="102"/>
      <c r="DT259" s="102"/>
      <c r="DU259" s="102"/>
      <c r="DV259" s="102"/>
      <c r="DW259" s="102"/>
      <c r="DX259" s="102"/>
      <c r="DY259" s="102">
        <v>25.1</v>
      </c>
      <c r="DZ259" s="102"/>
      <c r="EA259" s="102"/>
    </row>
    <row r="260" spans="1:131" x14ac:dyDescent="0.15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  <c r="CW260" s="102"/>
      <c r="CX260" s="102"/>
      <c r="CY260" s="102"/>
      <c r="CZ260" s="102"/>
      <c r="DA260" s="102"/>
      <c r="DB260" s="102"/>
      <c r="DC260" s="102"/>
      <c r="DD260" s="102"/>
      <c r="DE260" s="102"/>
      <c r="DF260" s="102"/>
      <c r="DG260" s="102"/>
      <c r="DH260" s="102"/>
      <c r="DI260" s="102"/>
      <c r="DJ260" s="102"/>
      <c r="DK260" s="102"/>
      <c r="DL260" s="102"/>
      <c r="DM260" s="102"/>
      <c r="DN260" s="102"/>
      <c r="DO260" s="102"/>
      <c r="DP260" s="102"/>
      <c r="DQ260" s="102"/>
      <c r="DR260" s="102"/>
      <c r="DS260" s="102"/>
      <c r="DT260" s="102"/>
      <c r="DU260" s="102"/>
      <c r="DV260" s="102"/>
      <c r="DW260" s="102"/>
      <c r="DX260" s="102"/>
      <c r="DY260" s="102">
        <v>25</v>
      </c>
      <c r="DZ260" s="102"/>
      <c r="EA260" s="102"/>
    </row>
    <row r="261" spans="1:131" x14ac:dyDescent="0.15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  <c r="CW261" s="102"/>
      <c r="CX261" s="102"/>
      <c r="CY261" s="102"/>
      <c r="CZ261" s="102"/>
      <c r="DA261" s="102"/>
      <c r="DB261" s="102"/>
      <c r="DC261" s="102"/>
      <c r="DD261" s="102"/>
      <c r="DE261" s="102"/>
      <c r="DF261" s="102"/>
      <c r="DG261" s="102"/>
      <c r="DH261" s="102"/>
      <c r="DI261" s="102"/>
      <c r="DJ261" s="102"/>
      <c r="DK261" s="102"/>
      <c r="DL261" s="102"/>
      <c r="DM261" s="102"/>
      <c r="DN261" s="102"/>
      <c r="DO261" s="102"/>
      <c r="DP261" s="102"/>
      <c r="DQ261" s="102"/>
      <c r="DR261" s="102"/>
      <c r="DS261" s="102"/>
      <c r="DT261" s="102"/>
      <c r="DU261" s="102"/>
      <c r="DV261" s="102"/>
      <c r="DW261" s="102"/>
      <c r="DX261" s="102"/>
      <c r="DY261" s="102">
        <v>24.9</v>
      </c>
      <c r="DZ261" s="102"/>
      <c r="EA261" s="102"/>
    </row>
    <row r="262" spans="1:131" x14ac:dyDescent="0.15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  <c r="CW262" s="102"/>
      <c r="CX262" s="102"/>
      <c r="CY262" s="102"/>
      <c r="CZ262" s="102"/>
      <c r="DA262" s="102"/>
      <c r="DB262" s="102"/>
      <c r="DC262" s="102"/>
      <c r="DD262" s="102"/>
      <c r="DE262" s="102"/>
      <c r="DF262" s="102"/>
      <c r="DG262" s="102"/>
      <c r="DH262" s="102"/>
      <c r="DI262" s="102"/>
      <c r="DJ262" s="102"/>
      <c r="DK262" s="102"/>
      <c r="DL262" s="102"/>
      <c r="DM262" s="102"/>
      <c r="DN262" s="102"/>
      <c r="DO262" s="102"/>
      <c r="DP262" s="102"/>
      <c r="DQ262" s="102"/>
      <c r="DR262" s="102"/>
      <c r="DS262" s="102"/>
      <c r="DT262" s="102"/>
      <c r="DU262" s="102"/>
      <c r="DV262" s="102"/>
      <c r="DW262" s="102"/>
      <c r="DX262" s="102"/>
      <c r="DY262" s="102">
        <v>24.8</v>
      </c>
      <c r="DZ262" s="102"/>
      <c r="EA262" s="102"/>
    </row>
    <row r="263" spans="1:131" x14ac:dyDescent="0.15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  <c r="CW263" s="102"/>
      <c r="CX263" s="102"/>
      <c r="CY263" s="102"/>
      <c r="CZ263" s="102"/>
      <c r="DA263" s="102"/>
      <c r="DB263" s="102"/>
      <c r="DC263" s="102"/>
      <c r="DD263" s="102"/>
      <c r="DE263" s="102"/>
      <c r="DF263" s="102"/>
      <c r="DG263" s="102"/>
      <c r="DH263" s="102"/>
      <c r="DI263" s="102"/>
      <c r="DJ263" s="102"/>
      <c r="DK263" s="102"/>
      <c r="DL263" s="102"/>
      <c r="DM263" s="102"/>
      <c r="DN263" s="102"/>
      <c r="DO263" s="102"/>
      <c r="DP263" s="102"/>
      <c r="DQ263" s="102"/>
      <c r="DR263" s="102"/>
      <c r="DS263" s="102"/>
      <c r="DT263" s="102"/>
      <c r="DU263" s="102"/>
      <c r="DV263" s="102"/>
      <c r="DW263" s="102"/>
      <c r="DX263" s="102"/>
      <c r="DY263" s="102">
        <v>24.7</v>
      </c>
      <c r="DZ263" s="102"/>
      <c r="EA263" s="102"/>
    </row>
    <row r="264" spans="1:131" x14ac:dyDescent="0.15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  <c r="CW264" s="102"/>
      <c r="CX264" s="102"/>
      <c r="CY264" s="102"/>
      <c r="CZ264" s="102"/>
      <c r="DA264" s="102"/>
      <c r="DB264" s="102"/>
      <c r="DC264" s="102"/>
      <c r="DD264" s="102"/>
      <c r="DE264" s="102"/>
      <c r="DF264" s="102"/>
      <c r="DG264" s="102"/>
      <c r="DH264" s="102"/>
      <c r="DI264" s="102"/>
      <c r="DJ264" s="102"/>
      <c r="DK264" s="102"/>
      <c r="DL264" s="102"/>
      <c r="DM264" s="102"/>
      <c r="DN264" s="102"/>
      <c r="DO264" s="102"/>
      <c r="DP264" s="102"/>
      <c r="DQ264" s="102"/>
      <c r="DR264" s="102"/>
      <c r="DS264" s="102"/>
      <c r="DT264" s="102"/>
      <c r="DU264" s="102"/>
      <c r="DV264" s="102"/>
      <c r="DW264" s="102"/>
      <c r="DX264" s="102"/>
      <c r="DY264" s="102">
        <v>24.6</v>
      </c>
      <c r="DZ264" s="102"/>
      <c r="EA264" s="102"/>
    </row>
    <row r="265" spans="1:131" x14ac:dyDescent="0.15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  <c r="CW265" s="102"/>
      <c r="CX265" s="102"/>
      <c r="CY265" s="102"/>
      <c r="CZ265" s="102"/>
      <c r="DA265" s="102"/>
      <c r="DB265" s="102"/>
      <c r="DC265" s="102"/>
      <c r="DD265" s="102"/>
      <c r="DE265" s="102"/>
      <c r="DF265" s="102"/>
      <c r="DG265" s="102"/>
      <c r="DH265" s="102"/>
      <c r="DI265" s="102"/>
      <c r="DJ265" s="102"/>
      <c r="DK265" s="102"/>
      <c r="DL265" s="102"/>
      <c r="DM265" s="102"/>
      <c r="DN265" s="102"/>
      <c r="DO265" s="102"/>
      <c r="DP265" s="102"/>
      <c r="DQ265" s="102"/>
      <c r="DR265" s="102"/>
      <c r="DS265" s="102"/>
      <c r="DT265" s="102"/>
      <c r="DU265" s="102"/>
      <c r="DV265" s="102"/>
      <c r="DW265" s="102"/>
      <c r="DX265" s="102"/>
      <c r="DY265" s="102">
        <v>24.5</v>
      </c>
      <c r="DZ265" s="102"/>
      <c r="EA265" s="102"/>
    </row>
    <row r="266" spans="1:131" x14ac:dyDescent="0.15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  <c r="CW266" s="102"/>
      <c r="CX266" s="102"/>
      <c r="CY266" s="102"/>
      <c r="CZ266" s="102"/>
      <c r="DA266" s="102"/>
      <c r="DB266" s="102"/>
      <c r="DC266" s="102"/>
      <c r="DD266" s="102"/>
      <c r="DE266" s="102"/>
      <c r="DF266" s="102"/>
      <c r="DG266" s="102"/>
      <c r="DH266" s="102"/>
      <c r="DI266" s="102"/>
      <c r="DJ266" s="102"/>
      <c r="DK266" s="102"/>
      <c r="DL266" s="102"/>
      <c r="DM266" s="102"/>
      <c r="DN266" s="102"/>
      <c r="DO266" s="102"/>
      <c r="DP266" s="102"/>
      <c r="DQ266" s="102"/>
      <c r="DR266" s="102"/>
      <c r="DS266" s="102"/>
      <c r="DT266" s="102"/>
      <c r="DU266" s="102"/>
      <c r="DV266" s="102"/>
      <c r="DW266" s="102"/>
      <c r="DX266" s="102"/>
      <c r="DY266" s="102">
        <v>24.4</v>
      </c>
      <c r="DZ266" s="102"/>
      <c r="EA266" s="102"/>
    </row>
    <row r="267" spans="1:131" x14ac:dyDescent="0.15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  <c r="CW267" s="102"/>
      <c r="CX267" s="102"/>
      <c r="CY267" s="102"/>
      <c r="CZ267" s="102"/>
      <c r="DA267" s="102"/>
      <c r="DB267" s="102"/>
      <c r="DC267" s="102"/>
      <c r="DD267" s="102"/>
      <c r="DE267" s="102"/>
      <c r="DF267" s="102"/>
      <c r="DG267" s="102"/>
      <c r="DH267" s="102"/>
      <c r="DI267" s="102"/>
      <c r="DJ267" s="102"/>
      <c r="DK267" s="102"/>
      <c r="DL267" s="102"/>
      <c r="DM267" s="102"/>
      <c r="DN267" s="102"/>
      <c r="DO267" s="102"/>
      <c r="DP267" s="102"/>
      <c r="DQ267" s="102"/>
      <c r="DR267" s="102"/>
      <c r="DS267" s="102"/>
      <c r="DT267" s="102"/>
      <c r="DU267" s="102"/>
      <c r="DV267" s="102"/>
      <c r="DW267" s="102"/>
      <c r="DX267" s="102"/>
      <c r="DY267" s="102">
        <v>24.3</v>
      </c>
      <c r="DZ267" s="102"/>
      <c r="EA267" s="102"/>
    </row>
    <row r="268" spans="1:131" x14ac:dyDescent="0.15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  <c r="CW268" s="102"/>
      <c r="CX268" s="102"/>
      <c r="CY268" s="102"/>
      <c r="CZ268" s="102"/>
      <c r="DA268" s="102"/>
      <c r="DB268" s="102"/>
      <c r="DC268" s="102"/>
      <c r="DD268" s="102"/>
      <c r="DE268" s="102"/>
      <c r="DF268" s="102"/>
      <c r="DG268" s="102"/>
      <c r="DH268" s="102"/>
      <c r="DI268" s="102"/>
      <c r="DJ268" s="102"/>
      <c r="DK268" s="102"/>
      <c r="DL268" s="102"/>
      <c r="DM268" s="102"/>
      <c r="DN268" s="102"/>
      <c r="DO268" s="102"/>
      <c r="DP268" s="102"/>
      <c r="DQ268" s="102"/>
      <c r="DR268" s="102"/>
      <c r="DS268" s="102"/>
      <c r="DT268" s="102"/>
      <c r="DU268" s="102"/>
      <c r="DV268" s="102"/>
      <c r="DW268" s="102"/>
      <c r="DX268" s="102"/>
      <c r="DY268" s="102">
        <v>24.2</v>
      </c>
      <c r="DZ268" s="102"/>
      <c r="EA268" s="102"/>
    </row>
    <row r="269" spans="1:131" x14ac:dyDescent="0.15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  <c r="CW269" s="102"/>
      <c r="CX269" s="102"/>
      <c r="CY269" s="102"/>
      <c r="CZ269" s="102"/>
      <c r="DA269" s="102"/>
      <c r="DB269" s="102"/>
      <c r="DC269" s="102"/>
      <c r="DD269" s="102"/>
      <c r="DE269" s="102"/>
      <c r="DF269" s="102"/>
      <c r="DG269" s="102"/>
      <c r="DH269" s="102"/>
      <c r="DI269" s="102"/>
      <c r="DJ269" s="102"/>
      <c r="DK269" s="102"/>
      <c r="DL269" s="102"/>
      <c r="DM269" s="102"/>
      <c r="DN269" s="102"/>
      <c r="DO269" s="102"/>
      <c r="DP269" s="102"/>
      <c r="DQ269" s="102"/>
      <c r="DR269" s="102"/>
      <c r="DS269" s="102"/>
      <c r="DT269" s="102"/>
      <c r="DU269" s="102"/>
      <c r="DV269" s="102"/>
      <c r="DW269" s="102"/>
      <c r="DX269" s="102"/>
      <c r="DY269" s="102">
        <v>24.1</v>
      </c>
      <c r="DZ269" s="102"/>
      <c r="EA269" s="102"/>
    </row>
    <row r="270" spans="1:131" x14ac:dyDescent="0.15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  <c r="CW270" s="102"/>
      <c r="CX270" s="102"/>
      <c r="CY270" s="102"/>
      <c r="CZ270" s="102"/>
      <c r="DA270" s="102"/>
      <c r="DB270" s="102"/>
      <c r="DC270" s="102"/>
      <c r="DD270" s="102"/>
      <c r="DE270" s="102"/>
      <c r="DF270" s="102"/>
      <c r="DG270" s="102"/>
      <c r="DH270" s="102"/>
      <c r="DI270" s="102"/>
      <c r="DJ270" s="102"/>
      <c r="DK270" s="102"/>
      <c r="DL270" s="102"/>
      <c r="DM270" s="102"/>
      <c r="DN270" s="102"/>
      <c r="DO270" s="102"/>
      <c r="DP270" s="102"/>
      <c r="DQ270" s="102"/>
      <c r="DR270" s="102"/>
      <c r="DS270" s="102"/>
      <c r="DT270" s="102"/>
      <c r="DU270" s="102"/>
      <c r="DV270" s="102"/>
      <c r="DW270" s="102"/>
      <c r="DX270" s="102"/>
      <c r="DY270" s="102">
        <v>24</v>
      </c>
      <c r="DZ270" s="102"/>
      <c r="EA270" s="102"/>
    </row>
    <row r="271" spans="1:131" x14ac:dyDescent="0.15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  <c r="CW271" s="102"/>
      <c r="CX271" s="102"/>
      <c r="CY271" s="102"/>
      <c r="CZ271" s="102"/>
      <c r="DA271" s="102"/>
      <c r="DB271" s="102"/>
      <c r="DC271" s="102"/>
      <c r="DD271" s="102"/>
      <c r="DE271" s="102"/>
      <c r="DF271" s="102"/>
      <c r="DG271" s="102"/>
      <c r="DH271" s="102"/>
      <c r="DI271" s="102"/>
      <c r="DJ271" s="102"/>
      <c r="DK271" s="102"/>
      <c r="DL271" s="102"/>
      <c r="DM271" s="102"/>
      <c r="DN271" s="102"/>
      <c r="DO271" s="102"/>
      <c r="DP271" s="102"/>
      <c r="DQ271" s="102"/>
      <c r="DR271" s="102"/>
      <c r="DS271" s="102"/>
      <c r="DT271" s="102"/>
      <c r="DU271" s="102"/>
      <c r="DV271" s="102"/>
      <c r="DW271" s="102"/>
      <c r="DX271" s="102"/>
      <c r="DY271" s="102">
        <v>23.9</v>
      </c>
      <c r="DZ271" s="102"/>
      <c r="EA271" s="102"/>
    </row>
    <row r="272" spans="1:131" x14ac:dyDescent="0.15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  <c r="CW272" s="102"/>
      <c r="CX272" s="102"/>
      <c r="CY272" s="102"/>
      <c r="CZ272" s="102"/>
      <c r="DA272" s="102"/>
      <c r="DB272" s="102"/>
      <c r="DC272" s="102"/>
      <c r="DD272" s="102"/>
      <c r="DE272" s="102"/>
      <c r="DF272" s="102"/>
      <c r="DG272" s="102"/>
      <c r="DH272" s="102"/>
      <c r="DI272" s="102"/>
      <c r="DJ272" s="102"/>
      <c r="DK272" s="102"/>
      <c r="DL272" s="102"/>
      <c r="DM272" s="102"/>
      <c r="DN272" s="102"/>
      <c r="DO272" s="102"/>
      <c r="DP272" s="102"/>
      <c r="DQ272" s="102"/>
      <c r="DR272" s="102"/>
      <c r="DS272" s="102"/>
      <c r="DT272" s="102"/>
      <c r="DU272" s="102"/>
      <c r="DV272" s="102"/>
      <c r="DW272" s="102"/>
      <c r="DX272" s="102"/>
      <c r="DY272" s="102">
        <v>23.8</v>
      </c>
      <c r="DZ272" s="102"/>
      <c r="EA272" s="102"/>
    </row>
    <row r="273" spans="1:131" x14ac:dyDescent="0.15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  <c r="CW273" s="102"/>
      <c r="CX273" s="102"/>
      <c r="CY273" s="102"/>
      <c r="CZ273" s="102"/>
      <c r="DA273" s="102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>
        <v>23.7</v>
      </c>
      <c r="DZ273" s="102"/>
      <c r="EA273" s="102"/>
    </row>
    <row r="274" spans="1:131" x14ac:dyDescent="0.15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  <c r="CW274" s="102"/>
      <c r="CX274" s="102"/>
      <c r="CY274" s="102"/>
      <c r="CZ274" s="102"/>
      <c r="DA274" s="102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2"/>
      <c r="DN274" s="102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>
        <v>23.6</v>
      </c>
      <c r="DZ274" s="102"/>
      <c r="EA274" s="102"/>
    </row>
    <row r="275" spans="1:131" x14ac:dyDescent="0.15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  <c r="CW275" s="102"/>
      <c r="CX275" s="102"/>
      <c r="CY275" s="102"/>
      <c r="CZ275" s="102"/>
      <c r="DA275" s="102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>
        <v>23.5</v>
      </c>
      <c r="DZ275" s="102"/>
      <c r="EA275" s="102"/>
    </row>
    <row r="276" spans="1:131" x14ac:dyDescent="0.15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  <c r="CW276" s="102"/>
      <c r="CX276" s="102"/>
      <c r="CY276" s="102"/>
      <c r="CZ276" s="102"/>
      <c r="DA276" s="102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2"/>
      <c r="DM276" s="102"/>
      <c r="DN276" s="102"/>
      <c r="DO276" s="102"/>
      <c r="DP276" s="102"/>
      <c r="DQ276" s="102"/>
      <c r="DR276" s="102"/>
      <c r="DS276" s="102"/>
      <c r="DT276" s="102"/>
      <c r="DU276" s="102"/>
      <c r="DV276" s="102"/>
      <c r="DW276" s="102"/>
      <c r="DX276" s="102"/>
      <c r="DY276" s="102">
        <v>23.4</v>
      </c>
      <c r="DZ276" s="102"/>
      <c r="EA276" s="102"/>
    </row>
    <row r="277" spans="1:131" x14ac:dyDescent="0.15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  <c r="CW277" s="102"/>
      <c r="CX277" s="102"/>
      <c r="CY277" s="102"/>
      <c r="CZ277" s="102"/>
      <c r="DA277" s="102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>
        <v>23.3</v>
      </c>
      <c r="DZ277" s="102"/>
      <c r="EA277" s="102"/>
    </row>
    <row r="278" spans="1:131" x14ac:dyDescent="0.15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  <c r="CW278" s="102"/>
      <c r="CX278" s="102"/>
      <c r="CY278" s="102"/>
      <c r="CZ278" s="102"/>
      <c r="DA278" s="102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>
        <v>23.2</v>
      </c>
      <c r="DZ278" s="102"/>
      <c r="EA278" s="102"/>
    </row>
    <row r="279" spans="1:131" x14ac:dyDescent="0.15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  <c r="CW279" s="102"/>
      <c r="CX279" s="102"/>
      <c r="CY279" s="102"/>
      <c r="CZ279" s="102"/>
      <c r="DA279" s="102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>
        <v>23.1</v>
      </c>
      <c r="DZ279" s="102"/>
      <c r="EA279" s="102"/>
    </row>
    <row r="280" spans="1:131" x14ac:dyDescent="0.15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  <c r="CW280" s="102"/>
      <c r="CX280" s="102"/>
      <c r="CY280" s="102"/>
      <c r="CZ280" s="102"/>
      <c r="DA280" s="102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2"/>
      <c r="DM280" s="102"/>
      <c r="DN280" s="102"/>
      <c r="DO280" s="102"/>
      <c r="DP280" s="102"/>
      <c r="DQ280" s="102"/>
      <c r="DR280" s="102"/>
      <c r="DS280" s="102"/>
      <c r="DT280" s="102"/>
      <c r="DU280" s="102"/>
      <c r="DV280" s="102"/>
      <c r="DW280" s="102"/>
      <c r="DX280" s="102"/>
      <c r="DY280" s="102">
        <v>23</v>
      </c>
      <c r="DZ280" s="102"/>
      <c r="EA280" s="102"/>
    </row>
    <row r="281" spans="1:131" x14ac:dyDescent="0.15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  <c r="CW281" s="102"/>
      <c r="CX281" s="102"/>
      <c r="CY281" s="102"/>
      <c r="CZ281" s="102"/>
      <c r="DA281" s="102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2"/>
      <c r="DM281" s="102"/>
      <c r="DN281" s="102"/>
      <c r="DO281" s="102"/>
      <c r="DP281" s="102"/>
      <c r="DQ281" s="102"/>
      <c r="DR281" s="102"/>
      <c r="DS281" s="102"/>
      <c r="DT281" s="102"/>
      <c r="DU281" s="102"/>
      <c r="DV281" s="102"/>
      <c r="DW281" s="102"/>
      <c r="DX281" s="102"/>
      <c r="DY281" s="102">
        <v>22.9</v>
      </c>
      <c r="DZ281" s="102"/>
      <c r="EA281" s="102"/>
    </row>
    <row r="282" spans="1:131" x14ac:dyDescent="0.15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  <c r="CW282" s="102"/>
      <c r="CX282" s="102"/>
      <c r="CY282" s="102"/>
      <c r="CZ282" s="102"/>
      <c r="DA282" s="102"/>
      <c r="DB282" s="102"/>
      <c r="DC282" s="102"/>
      <c r="DD282" s="102"/>
      <c r="DE282" s="102"/>
      <c r="DF282" s="102"/>
      <c r="DG282" s="102"/>
      <c r="DH282" s="102"/>
      <c r="DI282" s="102"/>
      <c r="DJ282" s="102"/>
      <c r="DK282" s="102"/>
      <c r="DL282" s="102"/>
      <c r="DM282" s="102"/>
      <c r="DN282" s="102"/>
      <c r="DO282" s="102"/>
      <c r="DP282" s="102"/>
      <c r="DQ282" s="102"/>
      <c r="DR282" s="102"/>
      <c r="DS282" s="102"/>
      <c r="DT282" s="102"/>
      <c r="DU282" s="102"/>
      <c r="DV282" s="102"/>
      <c r="DW282" s="102"/>
      <c r="DX282" s="102"/>
      <c r="DY282" s="102">
        <v>22.8</v>
      </c>
      <c r="DZ282" s="102"/>
      <c r="EA282" s="102"/>
    </row>
    <row r="283" spans="1:131" x14ac:dyDescent="0.15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  <c r="CW283" s="102"/>
      <c r="CX283" s="102"/>
      <c r="CY283" s="102"/>
      <c r="CZ283" s="102"/>
      <c r="DA283" s="102"/>
      <c r="DB283" s="102"/>
      <c r="DC283" s="102"/>
      <c r="DD283" s="102"/>
      <c r="DE283" s="102"/>
      <c r="DF283" s="102"/>
      <c r="DG283" s="102"/>
      <c r="DH283" s="102"/>
      <c r="DI283" s="102"/>
      <c r="DJ283" s="102"/>
      <c r="DK283" s="102"/>
      <c r="DL283" s="102"/>
      <c r="DM283" s="102"/>
      <c r="DN283" s="102"/>
      <c r="DO283" s="102"/>
      <c r="DP283" s="102"/>
      <c r="DQ283" s="102"/>
      <c r="DR283" s="102"/>
      <c r="DS283" s="102"/>
      <c r="DT283" s="102"/>
      <c r="DU283" s="102"/>
      <c r="DV283" s="102"/>
      <c r="DW283" s="102"/>
      <c r="DX283" s="102"/>
      <c r="DY283" s="102">
        <v>22.7</v>
      </c>
      <c r="DZ283" s="102"/>
      <c r="EA283" s="102"/>
    </row>
    <row r="284" spans="1:131" x14ac:dyDescent="0.15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  <c r="CW284" s="102"/>
      <c r="CX284" s="102"/>
      <c r="CY284" s="102"/>
      <c r="CZ284" s="102"/>
      <c r="DA284" s="102"/>
      <c r="DB284" s="102"/>
      <c r="DC284" s="102"/>
      <c r="DD284" s="102"/>
      <c r="DE284" s="102"/>
      <c r="DF284" s="102"/>
      <c r="DG284" s="102"/>
      <c r="DH284" s="102"/>
      <c r="DI284" s="102"/>
      <c r="DJ284" s="102"/>
      <c r="DK284" s="102"/>
      <c r="DL284" s="102"/>
      <c r="DM284" s="102"/>
      <c r="DN284" s="102"/>
      <c r="DO284" s="102"/>
      <c r="DP284" s="102"/>
      <c r="DQ284" s="102"/>
      <c r="DR284" s="102"/>
      <c r="DS284" s="102"/>
      <c r="DT284" s="102"/>
      <c r="DU284" s="102"/>
      <c r="DV284" s="102"/>
      <c r="DW284" s="102"/>
      <c r="DX284" s="102"/>
      <c r="DY284" s="102">
        <v>22.6</v>
      </c>
      <c r="DZ284" s="102"/>
      <c r="EA284" s="102"/>
    </row>
    <row r="285" spans="1:131" x14ac:dyDescent="0.15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  <c r="CW285" s="102"/>
      <c r="CX285" s="102"/>
      <c r="CY285" s="102"/>
      <c r="CZ285" s="102"/>
      <c r="DA285" s="102"/>
      <c r="DB285" s="102"/>
      <c r="DC285" s="102"/>
      <c r="DD285" s="102"/>
      <c r="DE285" s="102"/>
      <c r="DF285" s="102"/>
      <c r="DG285" s="102"/>
      <c r="DH285" s="102"/>
      <c r="DI285" s="102"/>
      <c r="DJ285" s="102"/>
      <c r="DK285" s="102"/>
      <c r="DL285" s="102"/>
      <c r="DM285" s="102"/>
      <c r="DN285" s="102"/>
      <c r="DO285" s="102"/>
      <c r="DP285" s="102"/>
      <c r="DQ285" s="102"/>
      <c r="DR285" s="102"/>
      <c r="DS285" s="102"/>
      <c r="DT285" s="102"/>
      <c r="DU285" s="102"/>
      <c r="DV285" s="102"/>
      <c r="DW285" s="102"/>
      <c r="DX285" s="102"/>
      <c r="DY285" s="102">
        <v>22.5</v>
      </c>
      <c r="DZ285" s="102"/>
      <c r="EA285" s="102"/>
    </row>
    <row r="286" spans="1:131" x14ac:dyDescent="0.15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  <c r="CW286" s="102"/>
      <c r="CX286" s="102"/>
      <c r="CY286" s="102"/>
      <c r="CZ286" s="102"/>
      <c r="DA286" s="102"/>
      <c r="DB286" s="102"/>
      <c r="DC286" s="102"/>
      <c r="DD286" s="102"/>
      <c r="DE286" s="102"/>
      <c r="DF286" s="102"/>
      <c r="DG286" s="102"/>
      <c r="DH286" s="102"/>
      <c r="DI286" s="102"/>
      <c r="DJ286" s="102"/>
      <c r="DK286" s="102"/>
      <c r="DL286" s="102"/>
      <c r="DM286" s="102"/>
      <c r="DN286" s="102"/>
      <c r="DO286" s="102"/>
      <c r="DP286" s="102"/>
      <c r="DQ286" s="102"/>
      <c r="DR286" s="102"/>
      <c r="DS286" s="102"/>
      <c r="DT286" s="102"/>
      <c r="DU286" s="102"/>
      <c r="DV286" s="102"/>
      <c r="DW286" s="102"/>
      <c r="DX286" s="102"/>
      <c r="DY286" s="102">
        <v>22.4</v>
      </c>
      <c r="DZ286" s="102"/>
      <c r="EA286" s="102"/>
    </row>
    <row r="287" spans="1:131" x14ac:dyDescent="0.15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  <c r="CW287" s="102"/>
      <c r="CX287" s="102"/>
      <c r="CY287" s="102"/>
      <c r="CZ287" s="102"/>
      <c r="DA287" s="102"/>
      <c r="DB287" s="102"/>
      <c r="DC287" s="102"/>
      <c r="DD287" s="102"/>
      <c r="DE287" s="102"/>
      <c r="DF287" s="102"/>
      <c r="DG287" s="102"/>
      <c r="DH287" s="102"/>
      <c r="DI287" s="102"/>
      <c r="DJ287" s="102"/>
      <c r="DK287" s="102"/>
      <c r="DL287" s="102"/>
      <c r="DM287" s="102"/>
      <c r="DN287" s="102"/>
      <c r="DO287" s="102"/>
      <c r="DP287" s="102"/>
      <c r="DQ287" s="102"/>
      <c r="DR287" s="102"/>
      <c r="DS287" s="102"/>
      <c r="DT287" s="102"/>
      <c r="DU287" s="102"/>
      <c r="DV287" s="102"/>
      <c r="DW287" s="102"/>
      <c r="DX287" s="102"/>
      <c r="DY287" s="102">
        <v>22.3</v>
      </c>
      <c r="DZ287" s="102"/>
      <c r="EA287" s="102"/>
    </row>
    <row r="288" spans="1:131" x14ac:dyDescent="0.15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02"/>
      <c r="DO288" s="102"/>
      <c r="DP288" s="102"/>
      <c r="DQ288" s="102"/>
      <c r="DR288" s="102"/>
      <c r="DS288" s="102"/>
      <c r="DT288" s="102"/>
      <c r="DU288" s="102"/>
      <c r="DV288" s="102"/>
      <c r="DW288" s="102"/>
      <c r="DX288" s="102"/>
      <c r="DY288" s="102">
        <v>22.2</v>
      </c>
      <c r="DZ288" s="102"/>
      <c r="EA288" s="102"/>
    </row>
    <row r="289" spans="1:131" x14ac:dyDescent="0.15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  <c r="CW289" s="102"/>
      <c r="CX289" s="102"/>
      <c r="CY289" s="102"/>
      <c r="CZ289" s="102"/>
      <c r="DA289" s="102"/>
      <c r="DB289" s="102"/>
      <c r="DC289" s="102"/>
      <c r="DD289" s="102"/>
      <c r="DE289" s="102"/>
      <c r="DF289" s="102"/>
      <c r="DG289" s="102"/>
      <c r="DH289" s="102"/>
      <c r="DI289" s="102"/>
      <c r="DJ289" s="102"/>
      <c r="DK289" s="102"/>
      <c r="DL289" s="102"/>
      <c r="DM289" s="102"/>
      <c r="DN289" s="102"/>
      <c r="DO289" s="102"/>
      <c r="DP289" s="102"/>
      <c r="DQ289" s="102"/>
      <c r="DR289" s="102"/>
      <c r="DS289" s="102"/>
      <c r="DT289" s="102"/>
      <c r="DU289" s="102"/>
      <c r="DV289" s="102"/>
      <c r="DW289" s="102"/>
      <c r="DX289" s="102"/>
      <c r="DY289" s="102">
        <v>22.1</v>
      </c>
      <c r="DZ289" s="102"/>
      <c r="EA289" s="102"/>
    </row>
    <row r="290" spans="1:131" x14ac:dyDescent="0.15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  <c r="CW290" s="102"/>
      <c r="CX290" s="102"/>
      <c r="CY290" s="102"/>
      <c r="CZ290" s="102"/>
      <c r="DA290" s="102"/>
      <c r="DB290" s="102"/>
      <c r="DC290" s="102"/>
      <c r="DD290" s="102"/>
      <c r="DE290" s="102"/>
      <c r="DF290" s="102"/>
      <c r="DG290" s="102"/>
      <c r="DH290" s="102"/>
      <c r="DI290" s="102"/>
      <c r="DJ290" s="102"/>
      <c r="DK290" s="102"/>
      <c r="DL290" s="102"/>
      <c r="DM290" s="102"/>
      <c r="DN290" s="102"/>
      <c r="DO290" s="102"/>
      <c r="DP290" s="102"/>
      <c r="DQ290" s="102"/>
      <c r="DR290" s="102"/>
      <c r="DS290" s="102"/>
      <c r="DT290" s="102"/>
      <c r="DU290" s="102"/>
      <c r="DV290" s="102"/>
      <c r="DW290" s="102"/>
      <c r="DX290" s="102"/>
      <c r="DY290" s="102">
        <v>22</v>
      </c>
      <c r="DZ290" s="102"/>
      <c r="EA290" s="102"/>
    </row>
    <row r="291" spans="1:131" x14ac:dyDescent="0.15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  <c r="CW291" s="102"/>
      <c r="CX291" s="102"/>
      <c r="CY291" s="102"/>
      <c r="CZ291" s="102"/>
      <c r="DA291" s="102"/>
      <c r="DB291" s="102"/>
      <c r="DC291" s="102"/>
      <c r="DD291" s="102"/>
      <c r="DE291" s="102"/>
      <c r="DF291" s="102"/>
      <c r="DG291" s="102"/>
      <c r="DH291" s="102"/>
      <c r="DI291" s="102"/>
      <c r="DJ291" s="102"/>
      <c r="DK291" s="102"/>
      <c r="DL291" s="102"/>
      <c r="DM291" s="102"/>
      <c r="DN291" s="102"/>
      <c r="DO291" s="102"/>
      <c r="DP291" s="102"/>
      <c r="DQ291" s="102"/>
      <c r="DR291" s="102"/>
      <c r="DS291" s="102"/>
      <c r="DT291" s="102"/>
      <c r="DU291" s="102"/>
      <c r="DV291" s="102"/>
      <c r="DW291" s="102"/>
      <c r="DX291" s="102"/>
      <c r="DY291" s="102">
        <v>21.9</v>
      </c>
      <c r="DZ291" s="102"/>
      <c r="EA291" s="102"/>
    </row>
    <row r="292" spans="1:131" x14ac:dyDescent="0.15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  <c r="CW292" s="102"/>
      <c r="CX292" s="102"/>
      <c r="CY292" s="102"/>
      <c r="CZ292" s="102"/>
      <c r="DA292" s="102"/>
      <c r="DB292" s="102"/>
      <c r="DC292" s="102"/>
      <c r="DD292" s="102"/>
      <c r="DE292" s="102"/>
      <c r="DF292" s="102"/>
      <c r="DG292" s="102"/>
      <c r="DH292" s="102"/>
      <c r="DI292" s="102"/>
      <c r="DJ292" s="102"/>
      <c r="DK292" s="102"/>
      <c r="DL292" s="102"/>
      <c r="DM292" s="102"/>
      <c r="DN292" s="102"/>
      <c r="DO292" s="102"/>
      <c r="DP292" s="102"/>
      <c r="DQ292" s="102"/>
      <c r="DR292" s="102"/>
      <c r="DS292" s="102"/>
      <c r="DT292" s="102"/>
      <c r="DU292" s="102"/>
      <c r="DV292" s="102"/>
      <c r="DW292" s="102"/>
      <c r="DX292" s="102"/>
      <c r="DY292" s="102">
        <v>21.8</v>
      </c>
      <c r="DZ292" s="102"/>
      <c r="EA292" s="102"/>
    </row>
    <row r="293" spans="1:131" x14ac:dyDescent="0.15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  <c r="CW293" s="102"/>
      <c r="CX293" s="102"/>
      <c r="CY293" s="102"/>
      <c r="CZ293" s="102"/>
      <c r="DA293" s="102"/>
      <c r="DB293" s="102"/>
      <c r="DC293" s="102"/>
      <c r="DD293" s="102"/>
      <c r="DE293" s="102"/>
      <c r="DF293" s="102"/>
      <c r="DG293" s="102"/>
      <c r="DH293" s="102"/>
      <c r="DI293" s="102"/>
      <c r="DJ293" s="102"/>
      <c r="DK293" s="102"/>
      <c r="DL293" s="102"/>
      <c r="DM293" s="102"/>
      <c r="DN293" s="102"/>
      <c r="DO293" s="102"/>
      <c r="DP293" s="102"/>
      <c r="DQ293" s="102"/>
      <c r="DR293" s="102"/>
      <c r="DS293" s="102"/>
      <c r="DT293" s="102"/>
      <c r="DU293" s="102"/>
      <c r="DV293" s="102"/>
      <c r="DW293" s="102"/>
      <c r="DX293" s="102"/>
      <c r="DY293" s="102">
        <v>21.7</v>
      </c>
      <c r="DZ293" s="102"/>
      <c r="EA293" s="102"/>
    </row>
    <row r="294" spans="1:131" x14ac:dyDescent="0.15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  <c r="CW294" s="102"/>
      <c r="CX294" s="102"/>
      <c r="CY294" s="102"/>
      <c r="CZ294" s="102"/>
      <c r="DA294" s="102"/>
      <c r="DB294" s="102"/>
      <c r="DC294" s="102"/>
      <c r="DD294" s="102"/>
      <c r="DE294" s="102"/>
      <c r="DF294" s="102"/>
      <c r="DG294" s="102"/>
      <c r="DH294" s="102"/>
      <c r="DI294" s="102"/>
      <c r="DJ294" s="102"/>
      <c r="DK294" s="102"/>
      <c r="DL294" s="102"/>
      <c r="DM294" s="102"/>
      <c r="DN294" s="102"/>
      <c r="DO294" s="102"/>
      <c r="DP294" s="102"/>
      <c r="DQ294" s="102"/>
      <c r="DR294" s="102"/>
      <c r="DS294" s="102"/>
      <c r="DT294" s="102"/>
      <c r="DU294" s="102"/>
      <c r="DV294" s="102"/>
      <c r="DW294" s="102"/>
      <c r="DX294" s="102"/>
      <c r="DY294" s="102">
        <v>21.6</v>
      </c>
      <c r="DZ294" s="102"/>
      <c r="EA294" s="102"/>
    </row>
    <row r="295" spans="1:131" x14ac:dyDescent="0.15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  <c r="CW295" s="102"/>
      <c r="CX295" s="102"/>
      <c r="CY295" s="102"/>
      <c r="CZ295" s="102"/>
      <c r="DA295" s="102"/>
      <c r="DB295" s="102"/>
      <c r="DC295" s="102"/>
      <c r="DD295" s="102"/>
      <c r="DE295" s="102"/>
      <c r="DF295" s="102"/>
      <c r="DG295" s="102"/>
      <c r="DH295" s="102"/>
      <c r="DI295" s="102"/>
      <c r="DJ295" s="102"/>
      <c r="DK295" s="102"/>
      <c r="DL295" s="102"/>
      <c r="DM295" s="102"/>
      <c r="DN295" s="102"/>
      <c r="DO295" s="102"/>
      <c r="DP295" s="102"/>
      <c r="DQ295" s="102"/>
      <c r="DR295" s="102"/>
      <c r="DS295" s="102"/>
      <c r="DT295" s="102"/>
      <c r="DU295" s="102"/>
      <c r="DV295" s="102"/>
      <c r="DW295" s="102"/>
      <c r="DX295" s="102"/>
      <c r="DY295" s="102">
        <v>21.5</v>
      </c>
      <c r="DZ295" s="102"/>
      <c r="EA295" s="102"/>
    </row>
    <row r="296" spans="1:131" x14ac:dyDescent="0.15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  <c r="CW296" s="102"/>
      <c r="CX296" s="102"/>
      <c r="CY296" s="102"/>
      <c r="CZ296" s="102"/>
      <c r="DA296" s="102"/>
      <c r="DB296" s="102"/>
      <c r="DC296" s="102"/>
      <c r="DD296" s="102"/>
      <c r="DE296" s="102"/>
      <c r="DF296" s="102"/>
      <c r="DG296" s="102"/>
      <c r="DH296" s="102"/>
      <c r="DI296" s="102"/>
      <c r="DJ296" s="102"/>
      <c r="DK296" s="102"/>
      <c r="DL296" s="102"/>
      <c r="DM296" s="102"/>
      <c r="DN296" s="102"/>
      <c r="DO296" s="102"/>
      <c r="DP296" s="102"/>
      <c r="DQ296" s="102"/>
      <c r="DR296" s="102"/>
      <c r="DS296" s="102"/>
      <c r="DT296" s="102"/>
      <c r="DU296" s="102"/>
      <c r="DV296" s="102"/>
      <c r="DW296" s="102"/>
      <c r="DX296" s="102"/>
      <c r="DY296" s="102">
        <v>21.4</v>
      </c>
      <c r="DZ296" s="102"/>
      <c r="EA296" s="102"/>
    </row>
    <row r="297" spans="1:131" x14ac:dyDescent="0.15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  <c r="CW297" s="102"/>
      <c r="CX297" s="102"/>
      <c r="CY297" s="102"/>
      <c r="CZ297" s="102"/>
      <c r="DA297" s="102"/>
      <c r="DB297" s="102"/>
      <c r="DC297" s="102"/>
      <c r="DD297" s="102"/>
      <c r="DE297" s="102"/>
      <c r="DF297" s="102"/>
      <c r="DG297" s="102"/>
      <c r="DH297" s="102"/>
      <c r="DI297" s="102"/>
      <c r="DJ297" s="102"/>
      <c r="DK297" s="102"/>
      <c r="DL297" s="102"/>
      <c r="DM297" s="102"/>
      <c r="DN297" s="102"/>
      <c r="DO297" s="102"/>
      <c r="DP297" s="102"/>
      <c r="DQ297" s="102"/>
      <c r="DR297" s="102"/>
      <c r="DS297" s="102"/>
      <c r="DT297" s="102"/>
      <c r="DU297" s="102"/>
      <c r="DV297" s="102"/>
      <c r="DW297" s="102"/>
      <c r="DX297" s="102"/>
      <c r="DY297" s="102">
        <v>21.3</v>
      </c>
      <c r="DZ297" s="102"/>
      <c r="EA297" s="102"/>
    </row>
    <row r="298" spans="1:131" x14ac:dyDescent="0.15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  <c r="CW298" s="102"/>
      <c r="CX298" s="102"/>
      <c r="CY298" s="102"/>
      <c r="CZ298" s="102"/>
      <c r="DA298" s="102"/>
      <c r="DB298" s="102"/>
      <c r="DC298" s="102"/>
      <c r="DD298" s="102"/>
      <c r="DE298" s="102"/>
      <c r="DF298" s="102"/>
      <c r="DG298" s="102"/>
      <c r="DH298" s="102"/>
      <c r="DI298" s="102"/>
      <c r="DJ298" s="102"/>
      <c r="DK298" s="102"/>
      <c r="DL298" s="102"/>
      <c r="DM298" s="102"/>
      <c r="DN298" s="102"/>
      <c r="DO298" s="102"/>
      <c r="DP298" s="102"/>
      <c r="DQ298" s="102"/>
      <c r="DR298" s="102"/>
      <c r="DS298" s="102"/>
      <c r="DT298" s="102"/>
      <c r="DU298" s="102"/>
      <c r="DV298" s="102"/>
      <c r="DW298" s="102"/>
      <c r="DX298" s="102"/>
      <c r="DY298" s="102">
        <v>21.2</v>
      </c>
      <c r="DZ298" s="102"/>
      <c r="EA298" s="102"/>
    </row>
    <row r="299" spans="1:131" x14ac:dyDescent="0.15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  <c r="CW299" s="102"/>
      <c r="CX299" s="102"/>
      <c r="CY299" s="102"/>
      <c r="CZ299" s="102"/>
      <c r="DA299" s="102"/>
      <c r="DB299" s="102"/>
      <c r="DC299" s="102"/>
      <c r="DD299" s="102"/>
      <c r="DE299" s="102"/>
      <c r="DF299" s="102"/>
      <c r="DG299" s="102"/>
      <c r="DH299" s="102"/>
      <c r="DI299" s="102"/>
      <c r="DJ299" s="102"/>
      <c r="DK299" s="102"/>
      <c r="DL299" s="102"/>
      <c r="DM299" s="102"/>
      <c r="DN299" s="102"/>
      <c r="DO299" s="102"/>
      <c r="DP299" s="102"/>
      <c r="DQ299" s="102"/>
      <c r="DR299" s="102"/>
      <c r="DS299" s="102"/>
      <c r="DT299" s="102"/>
      <c r="DU299" s="102"/>
      <c r="DV299" s="102"/>
      <c r="DW299" s="102"/>
      <c r="DX299" s="102"/>
      <c r="DY299" s="102">
        <v>21.1</v>
      </c>
      <c r="DZ299" s="102"/>
      <c r="EA299" s="102"/>
    </row>
    <row r="300" spans="1:131" x14ac:dyDescent="0.15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  <c r="CW300" s="102"/>
      <c r="CX300" s="102"/>
      <c r="CY300" s="102"/>
      <c r="CZ300" s="102"/>
      <c r="DA300" s="102"/>
      <c r="DB300" s="102"/>
      <c r="DC300" s="102"/>
      <c r="DD300" s="102"/>
      <c r="DE300" s="102"/>
      <c r="DF300" s="102"/>
      <c r="DG300" s="102"/>
      <c r="DH300" s="102"/>
      <c r="DI300" s="102"/>
      <c r="DJ300" s="102"/>
      <c r="DK300" s="102"/>
      <c r="DL300" s="102"/>
      <c r="DM300" s="102"/>
      <c r="DN300" s="102"/>
      <c r="DO300" s="102"/>
      <c r="DP300" s="102"/>
      <c r="DQ300" s="102"/>
      <c r="DR300" s="102"/>
      <c r="DS300" s="102"/>
      <c r="DT300" s="102"/>
      <c r="DU300" s="102"/>
      <c r="DV300" s="102"/>
      <c r="DW300" s="102"/>
      <c r="DX300" s="102"/>
      <c r="DY300" s="102">
        <v>21</v>
      </c>
      <c r="DZ300" s="102"/>
      <c r="EA300" s="102"/>
    </row>
    <row r="301" spans="1:131" x14ac:dyDescent="0.15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  <c r="CW301" s="102"/>
      <c r="CX301" s="102"/>
      <c r="CY301" s="102"/>
      <c r="CZ301" s="102"/>
      <c r="DA301" s="102"/>
      <c r="DB301" s="102"/>
      <c r="DC301" s="102"/>
      <c r="DD301" s="102"/>
      <c r="DE301" s="102"/>
      <c r="DF301" s="102"/>
      <c r="DG301" s="102"/>
      <c r="DH301" s="102"/>
      <c r="DI301" s="102"/>
      <c r="DJ301" s="102"/>
      <c r="DK301" s="102"/>
      <c r="DL301" s="102"/>
      <c r="DM301" s="102"/>
      <c r="DN301" s="102"/>
      <c r="DO301" s="102"/>
      <c r="DP301" s="102"/>
      <c r="DQ301" s="102"/>
      <c r="DR301" s="102"/>
      <c r="DS301" s="102"/>
      <c r="DT301" s="102"/>
      <c r="DU301" s="102"/>
      <c r="DV301" s="102"/>
      <c r="DW301" s="102"/>
      <c r="DX301" s="102"/>
      <c r="DY301" s="102">
        <v>20.9</v>
      </c>
      <c r="DZ301" s="102"/>
      <c r="EA301" s="102"/>
    </row>
    <row r="302" spans="1:131" x14ac:dyDescent="0.15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  <c r="CW302" s="102"/>
      <c r="CX302" s="102"/>
      <c r="CY302" s="102"/>
      <c r="CZ302" s="102"/>
      <c r="DA302" s="102"/>
      <c r="DB302" s="102"/>
      <c r="DC302" s="102"/>
      <c r="DD302" s="102"/>
      <c r="DE302" s="102"/>
      <c r="DF302" s="102"/>
      <c r="DG302" s="102"/>
      <c r="DH302" s="102"/>
      <c r="DI302" s="102"/>
      <c r="DJ302" s="102"/>
      <c r="DK302" s="102"/>
      <c r="DL302" s="102"/>
      <c r="DM302" s="102"/>
      <c r="DN302" s="102"/>
      <c r="DO302" s="102"/>
      <c r="DP302" s="102"/>
      <c r="DQ302" s="102"/>
      <c r="DR302" s="102"/>
      <c r="DS302" s="102"/>
      <c r="DT302" s="102"/>
      <c r="DU302" s="102"/>
      <c r="DV302" s="102"/>
      <c r="DW302" s="102"/>
      <c r="DX302" s="102"/>
      <c r="DY302" s="102">
        <v>20.8</v>
      </c>
      <c r="DZ302" s="102"/>
      <c r="EA302" s="102"/>
    </row>
    <row r="303" spans="1:131" x14ac:dyDescent="0.15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  <c r="CW303" s="102"/>
      <c r="CX303" s="102"/>
      <c r="CY303" s="102"/>
      <c r="CZ303" s="102"/>
      <c r="DA303" s="102"/>
      <c r="DB303" s="102"/>
      <c r="DC303" s="102"/>
      <c r="DD303" s="102"/>
      <c r="DE303" s="102"/>
      <c r="DF303" s="102"/>
      <c r="DG303" s="102"/>
      <c r="DH303" s="102"/>
      <c r="DI303" s="102"/>
      <c r="DJ303" s="102"/>
      <c r="DK303" s="102"/>
      <c r="DL303" s="102"/>
      <c r="DM303" s="102"/>
      <c r="DN303" s="102"/>
      <c r="DO303" s="102"/>
      <c r="DP303" s="102"/>
      <c r="DQ303" s="102"/>
      <c r="DR303" s="102"/>
      <c r="DS303" s="102"/>
      <c r="DT303" s="102"/>
      <c r="DU303" s="102"/>
      <c r="DV303" s="102"/>
      <c r="DW303" s="102"/>
      <c r="DX303" s="102"/>
      <c r="DY303" s="102">
        <v>20.7</v>
      </c>
      <c r="DZ303" s="102"/>
      <c r="EA303" s="102"/>
    </row>
    <row r="304" spans="1:131" x14ac:dyDescent="0.15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  <c r="CW304" s="102"/>
      <c r="CX304" s="102"/>
      <c r="CY304" s="102"/>
      <c r="CZ304" s="102"/>
      <c r="DA304" s="102"/>
      <c r="DB304" s="102"/>
      <c r="DC304" s="102"/>
      <c r="DD304" s="102"/>
      <c r="DE304" s="102"/>
      <c r="DF304" s="102"/>
      <c r="DG304" s="102"/>
      <c r="DH304" s="102"/>
      <c r="DI304" s="102"/>
      <c r="DJ304" s="102"/>
      <c r="DK304" s="102"/>
      <c r="DL304" s="102"/>
      <c r="DM304" s="102"/>
      <c r="DN304" s="102"/>
      <c r="DO304" s="102"/>
      <c r="DP304" s="102"/>
      <c r="DQ304" s="102"/>
      <c r="DR304" s="102"/>
      <c r="DS304" s="102"/>
      <c r="DT304" s="102"/>
      <c r="DU304" s="102"/>
      <c r="DV304" s="102"/>
      <c r="DW304" s="102"/>
      <c r="DX304" s="102"/>
      <c r="DY304" s="102">
        <v>20.6</v>
      </c>
      <c r="DZ304" s="102"/>
      <c r="EA304" s="102"/>
    </row>
    <row r="305" spans="1:131" x14ac:dyDescent="0.15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  <c r="CW305" s="102"/>
      <c r="CX305" s="102"/>
      <c r="CY305" s="102"/>
      <c r="CZ305" s="102"/>
      <c r="DA305" s="102"/>
      <c r="DB305" s="102"/>
      <c r="DC305" s="102"/>
      <c r="DD305" s="102"/>
      <c r="DE305" s="102"/>
      <c r="DF305" s="102"/>
      <c r="DG305" s="102"/>
      <c r="DH305" s="102"/>
      <c r="DI305" s="102"/>
      <c r="DJ305" s="102"/>
      <c r="DK305" s="102"/>
      <c r="DL305" s="102"/>
      <c r="DM305" s="102"/>
      <c r="DN305" s="102"/>
      <c r="DO305" s="102"/>
      <c r="DP305" s="102"/>
      <c r="DQ305" s="102"/>
      <c r="DR305" s="102"/>
      <c r="DS305" s="102"/>
      <c r="DT305" s="102"/>
      <c r="DU305" s="102"/>
      <c r="DV305" s="102"/>
      <c r="DW305" s="102"/>
      <c r="DX305" s="102"/>
      <c r="DY305" s="102">
        <v>20.5</v>
      </c>
      <c r="DZ305" s="102"/>
      <c r="EA305" s="102"/>
    </row>
    <row r="306" spans="1:131" x14ac:dyDescent="0.15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  <c r="CW306" s="102"/>
      <c r="CX306" s="102"/>
      <c r="CY306" s="102"/>
      <c r="CZ306" s="102"/>
      <c r="DA306" s="102"/>
      <c r="DB306" s="102"/>
      <c r="DC306" s="102"/>
      <c r="DD306" s="102"/>
      <c r="DE306" s="102"/>
      <c r="DF306" s="102"/>
      <c r="DG306" s="102"/>
      <c r="DH306" s="102"/>
      <c r="DI306" s="102"/>
      <c r="DJ306" s="102"/>
      <c r="DK306" s="102"/>
      <c r="DL306" s="102"/>
      <c r="DM306" s="102"/>
      <c r="DN306" s="102"/>
      <c r="DO306" s="102"/>
      <c r="DP306" s="102"/>
      <c r="DQ306" s="102"/>
      <c r="DR306" s="102"/>
      <c r="DS306" s="102"/>
      <c r="DT306" s="102"/>
      <c r="DU306" s="102"/>
      <c r="DV306" s="102"/>
      <c r="DW306" s="102"/>
      <c r="DX306" s="102"/>
      <c r="DY306" s="102">
        <v>20.399999999999999</v>
      </c>
      <c r="DZ306" s="102"/>
      <c r="EA306" s="102"/>
    </row>
    <row r="307" spans="1:131" x14ac:dyDescent="0.15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  <c r="CW307" s="102"/>
      <c r="CX307" s="102"/>
      <c r="CY307" s="102"/>
      <c r="CZ307" s="102"/>
      <c r="DA307" s="102"/>
      <c r="DB307" s="102"/>
      <c r="DC307" s="102"/>
      <c r="DD307" s="102"/>
      <c r="DE307" s="102"/>
      <c r="DF307" s="102"/>
      <c r="DG307" s="102"/>
      <c r="DH307" s="102"/>
      <c r="DI307" s="102"/>
      <c r="DJ307" s="102"/>
      <c r="DK307" s="102"/>
      <c r="DL307" s="102"/>
      <c r="DM307" s="102"/>
      <c r="DN307" s="102"/>
      <c r="DO307" s="102"/>
      <c r="DP307" s="102"/>
      <c r="DQ307" s="102"/>
      <c r="DR307" s="102"/>
      <c r="DS307" s="102"/>
      <c r="DT307" s="102"/>
      <c r="DU307" s="102"/>
      <c r="DV307" s="102"/>
      <c r="DW307" s="102"/>
      <c r="DX307" s="102"/>
      <c r="DY307" s="102">
        <v>20.3</v>
      </c>
      <c r="DZ307" s="102"/>
      <c r="EA307" s="102"/>
    </row>
    <row r="308" spans="1:131" x14ac:dyDescent="0.15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  <c r="CW308" s="102"/>
      <c r="CX308" s="102"/>
      <c r="CY308" s="102"/>
      <c r="CZ308" s="102"/>
      <c r="DA308" s="102"/>
      <c r="DB308" s="102"/>
      <c r="DC308" s="102"/>
      <c r="DD308" s="102"/>
      <c r="DE308" s="102"/>
      <c r="DF308" s="102"/>
      <c r="DG308" s="102"/>
      <c r="DH308" s="102"/>
      <c r="DI308" s="102"/>
      <c r="DJ308" s="102"/>
      <c r="DK308" s="102"/>
      <c r="DL308" s="102"/>
      <c r="DM308" s="102"/>
      <c r="DN308" s="102"/>
      <c r="DO308" s="102"/>
      <c r="DP308" s="102"/>
      <c r="DQ308" s="102"/>
      <c r="DR308" s="102"/>
      <c r="DS308" s="102"/>
      <c r="DT308" s="102"/>
      <c r="DU308" s="102"/>
      <c r="DV308" s="102"/>
      <c r="DW308" s="102"/>
      <c r="DX308" s="102"/>
      <c r="DY308" s="102">
        <v>20.2</v>
      </c>
      <c r="DZ308" s="102"/>
      <c r="EA308" s="102"/>
    </row>
    <row r="309" spans="1:131" x14ac:dyDescent="0.15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  <c r="CW309" s="102"/>
      <c r="CX309" s="102"/>
      <c r="CY309" s="102"/>
      <c r="CZ309" s="102"/>
      <c r="DA309" s="102"/>
      <c r="DB309" s="102"/>
      <c r="DC309" s="102"/>
      <c r="DD309" s="102"/>
      <c r="DE309" s="102"/>
      <c r="DF309" s="102"/>
      <c r="DG309" s="102"/>
      <c r="DH309" s="102"/>
      <c r="DI309" s="102"/>
      <c r="DJ309" s="102"/>
      <c r="DK309" s="102"/>
      <c r="DL309" s="102"/>
      <c r="DM309" s="102"/>
      <c r="DN309" s="102"/>
      <c r="DO309" s="102"/>
      <c r="DP309" s="102"/>
      <c r="DQ309" s="102"/>
      <c r="DR309" s="102"/>
      <c r="DS309" s="102"/>
      <c r="DT309" s="102"/>
      <c r="DU309" s="102"/>
      <c r="DV309" s="102"/>
      <c r="DW309" s="102"/>
      <c r="DX309" s="102"/>
      <c r="DY309" s="102">
        <v>20.100000000000001</v>
      </c>
      <c r="DZ309" s="102"/>
      <c r="EA309" s="102"/>
    </row>
    <row r="310" spans="1:131" x14ac:dyDescent="0.15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  <c r="CW310" s="102"/>
      <c r="CX310" s="102"/>
      <c r="CY310" s="102"/>
      <c r="CZ310" s="102"/>
      <c r="DA310" s="102"/>
      <c r="DB310" s="102"/>
      <c r="DC310" s="102"/>
      <c r="DD310" s="102"/>
      <c r="DE310" s="102"/>
      <c r="DF310" s="102"/>
      <c r="DG310" s="102"/>
      <c r="DH310" s="102"/>
      <c r="DI310" s="102"/>
      <c r="DJ310" s="102"/>
      <c r="DK310" s="102"/>
      <c r="DL310" s="102"/>
      <c r="DM310" s="102"/>
      <c r="DN310" s="102"/>
      <c r="DO310" s="102"/>
      <c r="DP310" s="102"/>
      <c r="DQ310" s="102"/>
      <c r="DR310" s="102"/>
      <c r="DS310" s="102"/>
      <c r="DT310" s="102"/>
      <c r="DU310" s="102"/>
      <c r="DV310" s="102"/>
      <c r="DW310" s="102"/>
      <c r="DX310" s="102"/>
      <c r="DY310" s="102">
        <v>20</v>
      </c>
      <c r="DZ310" s="102"/>
      <c r="EA310" s="102"/>
    </row>
    <row r="311" spans="1:131" x14ac:dyDescent="0.15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  <c r="CW311" s="102"/>
      <c r="CX311" s="102"/>
      <c r="CY311" s="102"/>
      <c r="CZ311" s="102"/>
      <c r="DA311" s="102"/>
      <c r="DB311" s="102"/>
      <c r="DC311" s="102"/>
      <c r="DD311" s="102"/>
      <c r="DE311" s="102"/>
      <c r="DF311" s="102"/>
      <c r="DG311" s="102"/>
      <c r="DH311" s="102"/>
      <c r="DI311" s="102"/>
      <c r="DJ311" s="102"/>
      <c r="DK311" s="102"/>
      <c r="DL311" s="102"/>
      <c r="DM311" s="102"/>
      <c r="DN311" s="102"/>
      <c r="DO311" s="102"/>
      <c r="DP311" s="102"/>
      <c r="DQ311" s="102"/>
      <c r="DR311" s="102"/>
      <c r="DS311" s="102"/>
      <c r="DT311" s="102"/>
      <c r="DU311" s="102"/>
      <c r="DV311" s="102"/>
      <c r="DW311" s="102"/>
      <c r="DX311" s="102"/>
      <c r="DY311" s="102">
        <v>19.899999999999999</v>
      </c>
      <c r="DZ311" s="102"/>
      <c r="EA311" s="102"/>
    </row>
    <row r="312" spans="1:131" x14ac:dyDescent="0.15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  <c r="CW312" s="102"/>
      <c r="CX312" s="102"/>
      <c r="CY312" s="102"/>
      <c r="CZ312" s="102"/>
      <c r="DA312" s="102"/>
      <c r="DB312" s="102"/>
      <c r="DC312" s="102"/>
      <c r="DD312" s="102"/>
      <c r="DE312" s="102"/>
      <c r="DF312" s="102"/>
      <c r="DG312" s="102"/>
      <c r="DH312" s="102"/>
      <c r="DI312" s="102"/>
      <c r="DJ312" s="102"/>
      <c r="DK312" s="102"/>
      <c r="DL312" s="102"/>
      <c r="DM312" s="102"/>
      <c r="DN312" s="102"/>
      <c r="DO312" s="102"/>
      <c r="DP312" s="102"/>
      <c r="DQ312" s="102"/>
      <c r="DR312" s="102"/>
      <c r="DS312" s="102"/>
      <c r="DT312" s="102"/>
      <c r="DU312" s="102"/>
      <c r="DV312" s="102"/>
      <c r="DW312" s="102"/>
      <c r="DX312" s="102"/>
      <c r="DY312" s="102">
        <v>19.8</v>
      </c>
      <c r="DZ312" s="102"/>
      <c r="EA312" s="102"/>
    </row>
    <row r="313" spans="1:131" x14ac:dyDescent="0.15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  <c r="CW313" s="102"/>
      <c r="CX313" s="102"/>
      <c r="CY313" s="102"/>
      <c r="CZ313" s="102"/>
      <c r="DA313" s="102"/>
      <c r="DB313" s="102"/>
      <c r="DC313" s="102"/>
      <c r="DD313" s="102"/>
      <c r="DE313" s="102"/>
      <c r="DF313" s="102"/>
      <c r="DG313" s="102"/>
      <c r="DH313" s="102"/>
      <c r="DI313" s="102"/>
      <c r="DJ313" s="102"/>
      <c r="DK313" s="102"/>
      <c r="DL313" s="102"/>
      <c r="DM313" s="102"/>
      <c r="DN313" s="102"/>
      <c r="DO313" s="102"/>
      <c r="DP313" s="102"/>
      <c r="DQ313" s="102"/>
      <c r="DR313" s="102"/>
      <c r="DS313" s="102"/>
      <c r="DT313" s="102"/>
      <c r="DU313" s="102"/>
      <c r="DV313" s="102"/>
      <c r="DW313" s="102"/>
      <c r="DX313" s="102"/>
      <c r="DY313" s="102">
        <v>19.7</v>
      </c>
      <c r="DZ313" s="102"/>
      <c r="EA313" s="102"/>
    </row>
    <row r="314" spans="1:131" x14ac:dyDescent="0.15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  <c r="CW314" s="102"/>
      <c r="CX314" s="102"/>
      <c r="CY314" s="102"/>
      <c r="CZ314" s="102"/>
      <c r="DA314" s="102"/>
      <c r="DB314" s="102"/>
      <c r="DC314" s="102"/>
      <c r="DD314" s="102"/>
      <c r="DE314" s="102"/>
      <c r="DF314" s="102"/>
      <c r="DG314" s="102"/>
      <c r="DH314" s="102"/>
      <c r="DI314" s="102"/>
      <c r="DJ314" s="102"/>
      <c r="DK314" s="102"/>
      <c r="DL314" s="102"/>
      <c r="DM314" s="102"/>
      <c r="DN314" s="102"/>
      <c r="DO314" s="102"/>
      <c r="DP314" s="102"/>
      <c r="DQ314" s="102"/>
      <c r="DR314" s="102"/>
      <c r="DS314" s="102"/>
      <c r="DT314" s="102"/>
      <c r="DU314" s="102"/>
      <c r="DV314" s="102"/>
      <c r="DW314" s="102"/>
      <c r="DX314" s="102"/>
      <c r="DY314" s="102">
        <v>19.600000000000001</v>
      </c>
      <c r="DZ314" s="102"/>
      <c r="EA314" s="102"/>
    </row>
    <row r="315" spans="1:131" x14ac:dyDescent="0.15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  <c r="CW315" s="102"/>
      <c r="CX315" s="102"/>
      <c r="CY315" s="102"/>
      <c r="CZ315" s="102"/>
      <c r="DA315" s="102"/>
      <c r="DB315" s="102"/>
      <c r="DC315" s="102"/>
      <c r="DD315" s="102"/>
      <c r="DE315" s="102"/>
      <c r="DF315" s="102"/>
      <c r="DG315" s="102"/>
      <c r="DH315" s="102"/>
      <c r="DI315" s="102"/>
      <c r="DJ315" s="102"/>
      <c r="DK315" s="102"/>
      <c r="DL315" s="102"/>
      <c r="DM315" s="102"/>
      <c r="DN315" s="102"/>
      <c r="DO315" s="102"/>
      <c r="DP315" s="102"/>
      <c r="DQ315" s="102"/>
      <c r="DR315" s="102"/>
      <c r="DS315" s="102"/>
      <c r="DT315" s="102"/>
      <c r="DU315" s="102"/>
      <c r="DV315" s="102"/>
      <c r="DW315" s="102"/>
      <c r="DX315" s="102"/>
      <c r="DY315" s="102">
        <v>19.5</v>
      </c>
      <c r="DZ315" s="102"/>
      <c r="EA315" s="102"/>
    </row>
    <row r="316" spans="1:131" x14ac:dyDescent="0.15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  <c r="CW316" s="102"/>
      <c r="CX316" s="102"/>
      <c r="CY316" s="102"/>
      <c r="CZ316" s="102"/>
      <c r="DA316" s="102"/>
      <c r="DB316" s="102"/>
      <c r="DC316" s="102"/>
      <c r="DD316" s="102"/>
      <c r="DE316" s="102"/>
      <c r="DF316" s="102"/>
      <c r="DG316" s="102"/>
      <c r="DH316" s="102"/>
      <c r="DI316" s="102"/>
      <c r="DJ316" s="102"/>
      <c r="DK316" s="102"/>
      <c r="DL316" s="102"/>
      <c r="DM316" s="102"/>
      <c r="DN316" s="102"/>
      <c r="DO316" s="102"/>
      <c r="DP316" s="102"/>
      <c r="DQ316" s="102"/>
      <c r="DR316" s="102"/>
      <c r="DS316" s="102"/>
      <c r="DT316" s="102"/>
      <c r="DU316" s="102"/>
      <c r="DV316" s="102"/>
      <c r="DW316" s="102"/>
      <c r="DX316" s="102"/>
      <c r="DY316" s="102">
        <v>19.399999999999999</v>
      </c>
      <c r="DZ316" s="102"/>
      <c r="EA316" s="102"/>
    </row>
    <row r="317" spans="1:131" x14ac:dyDescent="0.15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  <c r="CW317" s="102"/>
      <c r="CX317" s="102"/>
      <c r="CY317" s="102"/>
      <c r="CZ317" s="102"/>
      <c r="DA317" s="102"/>
      <c r="DB317" s="102"/>
      <c r="DC317" s="102"/>
      <c r="DD317" s="102"/>
      <c r="DE317" s="102"/>
      <c r="DF317" s="102"/>
      <c r="DG317" s="102"/>
      <c r="DH317" s="102"/>
      <c r="DI317" s="102"/>
      <c r="DJ317" s="102"/>
      <c r="DK317" s="102"/>
      <c r="DL317" s="102"/>
      <c r="DM317" s="102"/>
      <c r="DN317" s="102"/>
      <c r="DO317" s="102"/>
      <c r="DP317" s="102"/>
      <c r="DQ317" s="102"/>
      <c r="DR317" s="102"/>
      <c r="DS317" s="102"/>
      <c r="DT317" s="102"/>
      <c r="DU317" s="102"/>
      <c r="DV317" s="102"/>
      <c r="DW317" s="102"/>
      <c r="DX317" s="102"/>
      <c r="DY317" s="102">
        <v>19.3</v>
      </c>
      <c r="DZ317" s="102"/>
      <c r="EA317" s="102"/>
    </row>
    <row r="318" spans="1:131" x14ac:dyDescent="0.15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  <c r="CW318" s="102"/>
      <c r="CX318" s="102"/>
      <c r="CY318" s="102"/>
      <c r="CZ318" s="102"/>
      <c r="DA318" s="102"/>
      <c r="DB318" s="102"/>
      <c r="DC318" s="102"/>
      <c r="DD318" s="102"/>
      <c r="DE318" s="102"/>
      <c r="DF318" s="102"/>
      <c r="DG318" s="102"/>
      <c r="DH318" s="102"/>
      <c r="DI318" s="102"/>
      <c r="DJ318" s="102"/>
      <c r="DK318" s="102"/>
      <c r="DL318" s="102"/>
      <c r="DM318" s="102"/>
      <c r="DN318" s="102"/>
      <c r="DO318" s="102"/>
      <c r="DP318" s="102"/>
      <c r="DQ318" s="102"/>
      <c r="DR318" s="102"/>
      <c r="DS318" s="102"/>
      <c r="DT318" s="102"/>
      <c r="DU318" s="102"/>
      <c r="DV318" s="102"/>
      <c r="DW318" s="102"/>
      <c r="DX318" s="102"/>
      <c r="DY318" s="102">
        <v>19.2</v>
      </c>
      <c r="DZ318" s="102"/>
      <c r="EA318" s="102"/>
    </row>
    <row r="319" spans="1:131" x14ac:dyDescent="0.15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  <c r="CW319" s="102"/>
      <c r="CX319" s="102"/>
      <c r="CY319" s="102"/>
      <c r="CZ319" s="102"/>
      <c r="DA319" s="102"/>
      <c r="DB319" s="102"/>
      <c r="DC319" s="102"/>
      <c r="DD319" s="102"/>
      <c r="DE319" s="102"/>
      <c r="DF319" s="102"/>
      <c r="DG319" s="102"/>
      <c r="DH319" s="102"/>
      <c r="DI319" s="102"/>
      <c r="DJ319" s="102"/>
      <c r="DK319" s="102"/>
      <c r="DL319" s="102"/>
      <c r="DM319" s="102"/>
      <c r="DN319" s="102"/>
      <c r="DO319" s="102"/>
      <c r="DP319" s="102"/>
      <c r="DQ319" s="102"/>
      <c r="DR319" s="102"/>
      <c r="DS319" s="102"/>
      <c r="DT319" s="102"/>
      <c r="DU319" s="102"/>
      <c r="DV319" s="102"/>
      <c r="DW319" s="102"/>
      <c r="DX319" s="102"/>
      <c r="DY319" s="102">
        <v>19.100000000000001</v>
      </c>
      <c r="DZ319" s="102"/>
      <c r="EA319" s="102"/>
    </row>
    <row r="320" spans="1:131" x14ac:dyDescent="0.15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  <c r="CW320" s="102"/>
      <c r="CX320" s="102"/>
      <c r="CY320" s="102"/>
      <c r="CZ320" s="102"/>
      <c r="DA320" s="102"/>
      <c r="DB320" s="102"/>
      <c r="DC320" s="102"/>
      <c r="DD320" s="102"/>
      <c r="DE320" s="102"/>
      <c r="DF320" s="102"/>
      <c r="DG320" s="102"/>
      <c r="DH320" s="102"/>
      <c r="DI320" s="102"/>
      <c r="DJ320" s="102"/>
      <c r="DK320" s="102"/>
      <c r="DL320" s="102"/>
      <c r="DM320" s="102"/>
      <c r="DN320" s="102"/>
      <c r="DO320" s="102"/>
      <c r="DP320" s="102"/>
      <c r="DQ320" s="102"/>
      <c r="DR320" s="102"/>
      <c r="DS320" s="102"/>
      <c r="DT320" s="102"/>
      <c r="DU320" s="102"/>
      <c r="DV320" s="102"/>
      <c r="DW320" s="102"/>
      <c r="DX320" s="102"/>
      <c r="DY320" s="102">
        <v>19</v>
      </c>
      <c r="DZ320" s="102"/>
      <c r="EA320" s="102"/>
    </row>
    <row r="321" spans="1:131" x14ac:dyDescent="0.15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  <c r="CW321" s="102"/>
      <c r="CX321" s="102"/>
      <c r="CY321" s="102"/>
      <c r="CZ321" s="102"/>
      <c r="DA321" s="102"/>
      <c r="DB321" s="102"/>
      <c r="DC321" s="102"/>
      <c r="DD321" s="102"/>
      <c r="DE321" s="102"/>
      <c r="DF321" s="102"/>
      <c r="DG321" s="102"/>
      <c r="DH321" s="102"/>
      <c r="DI321" s="102"/>
      <c r="DJ321" s="102"/>
      <c r="DK321" s="102"/>
      <c r="DL321" s="102"/>
      <c r="DM321" s="102"/>
      <c r="DN321" s="102"/>
      <c r="DO321" s="102"/>
      <c r="DP321" s="102"/>
      <c r="DQ321" s="102"/>
      <c r="DR321" s="102"/>
      <c r="DS321" s="102"/>
      <c r="DT321" s="102"/>
      <c r="DU321" s="102"/>
      <c r="DV321" s="102"/>
      <c r="DW321" s="102"/>
      <c r="DX321" s="102"/>
      <c r="DY321" s="102">
        <v>18.899999999999999</v>
      </c>
      <c r="DZ321" s="102"/>
      <c r="EA321" s="102"/>
    </row>
    <row r="322" spans="1:131" x14ac:dyDescent="0.15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  <c r="CW322" s="102"/>
      <c r="CX322" s="102"/>
      <c r="CY322" s="102"/>
      <c r="CZ322" s="102"/>
      <c r="DA322" s="102"/>
      <c r="DB322" s="102"/>
      <c r="DC322" s="102"/>
      <c r="DD322" s="102"/>
      <c r="DE322" s="102"/>
      <c r="DF322" s="102"/>
      <c r="DG322" s="102"/>
      <c r="DH322" s="102"/>
      <c r="DI322" s="102"/>
      <c r="DJ322" s="102"/>
      <c r="DK322" s="102"/>
      <c r="DL322" s="102"/>
      <c r="DM322" s="102"/>
      <c r="DN322" s="102"/>
      <c r="DO322" s="102"/>
      <c r="DP322" s="102"/>
      <c r="DQ322" s="102"/>
      <c r="DR322" s="102"/>
      <c r="DS322" s="102"/>
      <c r="DT322" s="102"/>
      <c r="DU322" s="102"/>
      <c r="DV322" s="102"/>
      <c r="DW322" s="102"/>
      <c r="DX322" s="102"/>
      <c r="DY322" s="102">
        <v>18.8</v>
      </c>
      <c r="DZ322" s="102"/>
      <c r="EA322" s="102"/>
    </row>
    <row r="323" spans="1:131" x14ac:dyDescent="0.15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  <c r="CW323" s="102"/>
      <c r="CX323" s="102"/>
      <c r="CY323" s="102"/>
      <c r="CZ323" s="102"/>
      <c r="DA323" s="102"/>
      <c r="DB323" s="102"/>
      <c r="DC323" s="102"/>
      <c r="DD323" s="102"/>
      <c r="DE323" s="102"/>
      <c r="DF323" s="102"/>
      <c r="DG323" s="102"/>
      <c r="DH323" s="102"/>
      <c r="DI323" s="102"/>
      <c r="DJ323" s="102"/>
      <c r="DK323" s="102"/>
      <c r="DL323" s="102"/>
      <c r="DM323" s="102"/>
      <c r="DN323" s="102"/>
      <c r="DO323" s="102"/>
      <c r="DP323" s="102"/>
      <c r="DQ323" s="102"/>
      <c r="DR323" s="102"/>
      <c r="DS323" s="102"/>
      <c r="DT323" s="102"/>
      <c r="DU323" s="102"/>
      <c r="DV323" s="102"/>
      <c r="DW323" s="102"/>
      <c r="DX323" s="102"/>
      <c r="DY323" s="102">
        <v>18.7</v>
      </c>
      <c r="DZ323" s="102"/>
      <c r="EA323" s="102"/>
    </row>
    <row r="324" spans="1:131" x14ac:dyDescent="0.15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  <c r="CW324" s="102"/>
      <c r="CX324" s="102"/>
      <c r="CY324" s="102"/>
      <c r="CZ324" s="102"/>
      <c r="DA324" s="102"/>
      <c r="DB324" s="102"/>
      <c r="DC324" s="102"/>
      <c r="DD324" s="102"/>
      <c r="DE324" s="102"/>
      <c r="DF324" s="102"/>
      <c r="DG324" s="102"/>
      <c r="DH324" s="102"/>
      <c r="DI324" s="102"/>
      <c r="DJ324" s="102"/>
      <c r="DK324" s="102"/>
      <c r="DL324" s="102"/>
      <c r="DM324" s="102"/>
      <c r="DN324" s="102"/>
      <c r="DO324" s="102"/>
      <c r="DP324" s="102"/>
      <c r="DQ324" s="102"/>
      <c r="DR324" s="102"/>
      <c r="DS324" s="102"/>
      <c r="DT324" s="102"/>
      <c r="DU324" s="102"/>
      <c r="DV324" s="102"/>
      <c r="DW324" s="102"/>
      <c r="DX324" s="102"/>
      <c r="DY324" s="102">
        <v>18.600000000000001</v>
      </c>
      <c r="DZ324" s="102"/>
      <c r="EA324" s="102"/>
    </row>
    <row r="325" spans="1:131" x14ac:dyDescent="0.15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  <c r="CW325" s="102"/>
      <c r="CX325" s="102"/>
      <c r="CY325" s="102"/>
      <c r="CZ325" s="102"/>
      <c r="DA325" s="102"/>
      <c r="DB325" s="102"/>
      <c r="DC325" s="102"/>
      <c r="DD325" s="102"/>
      <c r="DE325" s="102"/>
      <c r="DF325" s="102"/>
      <c r="DG325" s="102"/>
      <c r="DH325" s="102"/>
      <c r="DI325" s="102"/>
      <c r="DJ325" s="102"/>
      <c r="DK325" s="102"/>
      <c r="DL325" s="102"/>
      <c r="DM325" s="102"/>
      <c r="DN325" s="102"/>
      <c r="DO325" s="102"/>
      <c r="DP325" s="102"/>
      <c r="DQ325" s="102"/>
      <c r="DR325" s="102"/>
      <c r="DS325" s="102"/>
      <c r="DT325" s="102"/>
      <c r="DU325" s="102"/>
      <c r="DV325" s="102"/>
      <c r="DW325" s="102"/>
      <c r="DX325" s="102"/>
      <c r="DY325" s="102">
        <v>18.5</v>
      </c>
      <c r="DZ325" s="102"/>
      <c r="EA325" s="102"/>
    </row>
    <row r="326" spans="1:131" x14ac:dyDescent="0.15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  <c r="CW326" s="102"/>
      <c r="CX326" s="102"/>
      <c r="CY326" s="102"/>
      <c r="CZ326" s="102"/>
      <c r="DA326" s="102"/>
      <c r="DB326" s="102"/>
      <c r="DC326" s="102"/>
      <c r="DD326" s="102"/>
      <c r="DE326" s="102"/>
      <c r="DF326" s="102"/>
      <c r="DG326" s="102"/>
      <c r="DH326" s="102"/>
      <c r="DI326" s="102"/>
      <c r="DJ326" s="102"/>
      <c r="DK326" s="102"/>
      <c r="DL326" s="102"/>
      <c r="DM326" s="102"/>
      <c r="DN326" s="102"/>
      <c r="DO326" s="102"/>
      <c r="DP326" s="102"/>
      <c r="DQ326" s="102"/>
      <c r="DR326" s="102"/>
      <c r="DS326" s="102"/>
      <c r="DT326" s="102"/>
      <c r="DU326" s="102"/>
      <c r="DV326" s="102"/>
      <c r="DW326" s="102"/>
      <c r="DX326" s="102"/>
      <c r="DY326" s="102">
        <v>18.399999999999999</v>
      </c>
      <c r="DZ326" s="102"/>
      <c r="EA326" s="102"/>
    </row>
    <row r="327" spans="1:131" x14ac:dyDescent="0.15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  <c r="CW327" s="102"/>
      <c r="CX327" s="102"/>
      <c r="CY327" s="102"/>
      <c r="CZ327" s="102"/>
      <c r="DA327" s="102"/>
      <c r="DB327" s="102"/>
      <c r="DC327" s="102"/>
      <c r="DD327" s="102"/>
      <c r="DE327" s="102"/>
      <c r="DF327" s="102"/>
      <c r="DG327" s="102"/>
      <c r="DH327" s="102"/>
      <c r="DI327" s="102"/>
      <c r="DJ327" s="102"/>
      <c r="DK327" s="102"/>
      <c r="DL327" s="102"/>
      <c r="DM327" s="102"/>
      <c r="DN327" s="102"/>
      <c r="DO327" s="102"/>
      <c r="DP327" s="102"/>
      <c r="DQ327" s="102"/>
      <c r="DR327" s="102"/>
      <c r="DS327" s="102"/>
      <c r="DT327" s="102"/>
      <c r="DU327" s="102"/>
      <c r="DV327" s="102"/>
      <c r="DW327" s="102"/>
      <c r="DX327" s="102"/>
      <c r="DY327" s="102">
        <v>18.3</v>
      </c>
      <c r="DZ327" s="102"/>
      <c r="EA327" s="102"/>
    </row>
    <row r="328" spans="1:131" x14ac:dyDescent="0.15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  <c r="CW328" s="102"/>
      <c r="CX328" s="102"/>
      <c r="CY328" s="102"/>
      <c r="CZ328" s="102"/>
      <c r="DA328" s="102"/>
      <c r="DB328" s="102"/>
      <c r="DC328" s="102"/>
      <c r="DD328" s="102"/>
      <c r="DE328" s="102"/>
      <c r="DF328" s="102"/>
      <c r="DG328" s="102"/>
      <c r="DH328" s="102"/>
      <c r="DI328" s="102"/>
      <c r="DJ328" s="102"/>
      <c r="DK328" s="102"/>
      <c r="DL328" s="102"/>
      <c r="DM328" s="102"/>
      <c r="DN328" s="102"/>
      <c r="DO328" s="102"/>
      <c r="DP328" s="102"/>
      <c r="DQ328" s="102"/>
      <c r="DR328" s="102"/>
      <c r="DS328" s="102"/>
      <c r="DT328" s="102"/>
      <c r="DU328" s="102"/>
      <c r="DV328" s="102"/>
      <c r="DW328" s="102"/>
      <c r="DX328" s="102"/>
      <c r="DY328" s="102">
        <v>18.2</v>
      </c>
      <c r="DZ328" s="102"/>
      <c r="EA328" s="102"/>
    </row>
    <row r="329" spans="1:131" x14ac:dyDescent="0.15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  <c r="CW329" s="102"/>
      <c r="CX329" s="102"/>
      <c r="CY329" s="102"/>
      <c r="CZ329" s="102"/>
      <c r="DA329" s="102"/>
      <c r="DB329" s="102"/>
      <c r="DC329" s="102"/>
      <c r="DD329" s="102"/>
      <c r="DE329" s="102"/>
      <c r="DF329" s="102"/>
      <c r="DG329" s="102"/>
      <c r="DH329" s="102"/>
      <c r="DI329" s="102"/>
      <c r="DJ329" s="102"/>
      <c r="DK329" s="102"/>
      <c r="DL329" s="102"/>
      <c r="DM329" s="102"/>
      <c r="DN329" s="102"/>
      <c r="DO329" s="102"/>
      <c r="DP329" s="102"/>
      <c r="DQ329" s="102"/>
      <c r="DR329" s="102"/>
      <c r="DS329" s="102"/>
      <c r="DT329" s="102"/>
      <c r="DU329" s="102"/>
      <c r="DV329" s="102"/>
      <c r="DW329" s="102"/>
      <c r="DX329" s="102"/>
      <c r="DY329" s="102">
        <v>18.100000000000001</v>
      </c>
      <c r="DZ329" s="102"/>
      <c r="EA329" s="102"/>
    </row>
    <row r="330" spans="1:131" x14ac:dyDescent="0.15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  <c r="CW330" s="102"/>
      <c r="CX330" s="102"/>
      <c r="CY330" s="102"/>
      <c r="CZ330" s="102"/>
      <c r="DA330" s="102"/>
      <c r="DB330" s="102"/>
      <c r="DC330" s="102"/>
      <c r="DD330" s="102"/>
      <c r="DE330" s="102"/>
      <c r="DF330" s="102"/>
      <c r="DG330" s="102"/>
      <c r="DH330" s="102"/>
      <c r="DI330" s="102"/>
      <c r="DJ330" s="102"/>
      <c r="DK330" s="102"/>
      <c r="DL330" s="102"/>
      <c r="DM330" s="102"/>
      <c r="DN330" s="102"/>
      <c r="DO330" s="102"/>
      <c r="DP330" s="102"/>
      <c r="DQ330" s="102"/>
      <c r="DR330" s="102"/>
      <c r="DS330" s="102"/>
      <c r="DT330" s="102"/>
      <c r="DU330" s="102"/>
      <c r="DV330" s="102"/>
      <c r="DW330" s="102"/>
      <c r="DX330" s="102"/>
      <c r="DY330" s="102">
        <v>18</v>
      </c>
      <c r="DZ330" s="102"/>
      <c r="EA330" s="102"/>
    </row>
    <row r="331" spans="1:131" x14ac:dyDescent="0.15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  <c r="CW331" s="102"/>
      <c r="CX331" s="102"/>
      <c r="CY331" s="102"/>
      <c r="CZ331" s="102"/>
      <c r="DA331" s="102"/>
      <c r="DB331" s="102"/>
      <c r="DC331" s="102"/>
      <c r="DD331" s="102"/>
      <c r="DE331" s="102"/>
      <c r="DF331" s="102"/>
      <c r="DG331" s="102"/>
      <c r="DH331" s="102"/>
      <c r="DI331" s="102"/>
      <c r="DJ331" s="102"/>
      <c r="DK331" s="102"/>
      <c r="DL331" s="102"/>
      <c r="DM331" s="102"/>
      <c r="DN331" s="102"/>
      <c r="DO331" s="102"/>
      <c r="DP331" s="102"/>
      <c r="DQ331" s="102"/>
      <c r="DR331" s="102"/>
      <c r="DS331" s="102"/>
      <c r="DT331" s="102"/>
      <c r="DU331" s="102"/>
      <c r="DV331" s="102"/>
      <c r="DW331" s="102"/>
      <c r="DX331" s="102"/>
      <c r="DY331" s="102">
        <v>17.899999999999999</v>
      </c>
      <c r="DZ331" s="102"/>
      <c r="EA331" s="102"/>
    </row>
    <row r="332" spans="1:131" x14ac:dyDescent="0.15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  <c r="CW332" s="102"/>
      <c r="CX332" s="102"/>
      <c r="CY332" s="102"/>
      <c r="CZ332" s="102"/>
      <c r="DA332" s="102"/>
      <c r="DB332" s="102"/>
      <c r="DC332" s="102"/>
      <c r="DD332" s="102"/>
      <c r="DE332" s="102"/>
      <c r="DF332" s="102"/>
      <c r="DG332" s="102"/>
      <c r="DH332" s="102"/>
      <c r="DI332" s="102"/>
      <c r="DJ332" s="102"/>
      <c r="DK332" s="102"/>
      <c r="DL332" s="102"/>
      <c r="DM332" s="102"/>
      <c r="DN332" s="102"/>
      <c r="DO332" s="102"/>
      <c r="DP332" s="102"/>
      <c r="DQ332" s="102"/>
      <c r="DR332" s="102"/>
      <c r="DS332" s="102"/>
      <c r="DT332" s="102"/>
      <c r="DU332" s="102"/>
      <c r="DV332" s="102"/>
      <c r="DW332" s="102"/>
      <c r="DX332" s="102"/>
      <c r="DY332" s="102">
        <v>17.8</v>
      </c>
      <c r="DZ332" s="102"/>
      <c r="EA332" s="102"/>
    </row>
    <row r="333" spans="1:131" x14ac:dyDescent="0.15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  <c r="CW333" s="102"/>
      <c r="CX333" s="102"/>
      <c r="CY333" s="102"/>
      <c r="CZ333" s="102"/>
      <c r="DA333" s="102"/>
      <c r="DB333" s="102"/>
      <c r="DC333" s="102"/>
      <c r="DD333" s="102"/>
      <c r="DE333" s="102"/>
      <c r="DF333" s="102"/>
      <c r="DG333" s="102"/>
      <c r="DH333" s="102"/>
      <c r="DI333" s="102"/>
      <c r="DJ333" s="102"/>
      <c r="DK333" s="102"/>
      <c r="DL333" s="102"/>
      <c r="DM333" s="102"/>
      <c r="DN333" s="102"/>
      <c r="DO333" s="102"/>
      <c r="DP333" s="102"/>
      <c r="DQ333" s="102"/>
      <c r="DR333" s="102"/>
      <c r="DS333" s="102"/>
      <c r="DT333" s="102"/>
      <c r="DU333" s="102"/>
      <c r="DV333" s="102"/>
      <c r="DW333" s="102"/>
      <c r="DX333" s="102"/>
      <c r="DY333" s="102">
        <v>17.7</v>
      </c>
      <c r="DZ333" s="102"/>
      <c r="EA333" s="102"/>
    </row>
    <row r="334" spans="1:131" x14ac:dyDescent="0.15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  <c r="CW334" s="102"/>
      <c r="CX334" s="102"/>
      <c r="CY334" s="102"/>
      <c r="CZ334" s="102"/>
      <c r="DA334" s="102"/>
      <c r="DB334" s="102"/>
      <c r="DC334" s="102"/>
      <c r="DD334" s="102"/>
      <c r="DE334" s="102"/>
      <c r="DF334" s="102"/>
      <c r="DG334" s="102"/>
      <c r="DH334" s="102"/>
      <c r="DI334" s="102"/>
      <c r="DJ334" s="102"/>
      <c r="DK334" s="102"/>
      <c r="DL334" s="102"/>
      <c r="DM334" s="102"/>
      <c r="DN334" s="102"/>
      <c r="DO334" s="102"/>
      <c r="DP334" s="102"/>
      <c r="DQ334" s="102"/>
      <c r="DR334" s="102"/>
      <c r="DS334" s="102"/>
      <c r="DT334" s="102"/>
      <c r="DU334" s="102"/>
      <c r="DV334" s="102"/>
      <c r="DW334" s="102"/>
      <c r="DX334" s="102"/>
      <c r="DY334" s="102">
        <v>17.600000000000001</v>
      </c>
      <c r="DZ334" s="102"/>
      <c r="EA334" s="102"/>
    </row>
    <row r="335" spans="1:131" x14ac:dyDescent="0.15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  <c r="CW335" s="102"/>
      <c r="CX335" s="102"/>
      <c r="CY335" s="102"/>
      <c r="CZ335" s="102"/>
      <c r="DA335" s="102"/>
      <c r="DB335" s="102"/>
      <c r="DC335" s="102"/>
      <c r="DD335" s="102"/>
      <c r="DE335" s="102"/>
      <c r="DF335" s="102"/>
      <c r="DG335" s="102"/>
      <c r="DH335" s="102"/>
      <c r="DI335" s="102"/>
      <c r="DJ335" s="102"/>
      <c r="DK335" s="102"/>
      <c r="DL335" s="102"/>
      <c r="DM335" s="102"/>
      <c r="DN335" s="102"/>
      <c r="DO335" s="102"/>
      <c r="DP335" s="102"/>
      <c r="DQ335" s="102"/>
      <c r="DR335" s="102"/>
      <c r="DS335" s="102"/>
      <c r="DT335" s="102"/>
      <c r="DU335" s="102"/>
      <c r="DV335" s="102"/>
      <c r="DW335" s="102"/>
      <c r="DX335" s="102"/>
      <c r="DY335" s="102">
        <v>17.5</v>
      </c>
      <c r="DZ335" s="102"/>
      <c r="EA335" s="102"/>
    </row>
    <row r="336" spans="1:131" x14ac:dyDescent="0.15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  <c r="CW336" s="102"/>
      <c r="CX336" s="102"/>
      <c r="CY336" s="102"/>
      <c r="CZ336" s="102"/>
      <c r="DA336" s="102"/>
      <c r="DB336" s="102"/>
      <c r="DC336" s="102"/>
      <c r="DD336" s="102"/>
      <c r="DE336" s="102"/>
      <c r="DF336" s="102"/>
      <c r="DG336" s="102"/>
      <c r="DH336" s="102"/>
      <c r="DI336" s="102"/>
      <c r="DJ336" s="102"/>
      <c r="DK336" s="102"/>
      <c r="DL336" s="102"/>
      <c r="DM336" s="102"/>
      <c r="DN336" s="102"/>
      <c r="DO336" s="102"/>
      <c r="DP336" s="102"/>
      <c r="DQ336" s="102"/>
      <c r="DR336" s="102"/>
      <c r="DS336" s="102"/>
      <c r="DT336" s="102"/>
      <c r="DU336" s="102"/>
      <c r="DV336" s="102"/>
      <c r="DW336" s="102"/>
      <c r="DX336" s="102"/>
      <c r="DY336" s="102">
        <v>17.399999999999999</v>
      </c>
      <c r="DZ336" s="102"/>
      <c r="EA336" s="102"/>
    </row>
    <row r="337" spans="1:131" x14ac:dyDescent="0.15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  <c r="CW337" s="102"/>
      <c r="CX337" s="102"/>
      <c r="CY337" s="102"/>
      <c r="CZ337" s="102"/>
      <c r="DA337" s="102"/>
      <c r="DB337" s="102"/>
      <c r="DC337" s="102"/>
      <c r="DD337" s="102"/>
      <c r="DE337" s="102"/>
      <c r="DF337" s="102"/>
      <c r="DG337" s="102"/>
      <c r="DH337" s="102"/>
      <c r="DI337" s="102"/>
      <c r="DJ337" s="102"/>
      <c r="DK337" s="102"/>
      <c r="DL337" s="102"/>
      <c r="DM337" s="102"/>
      <c r="DN337" s="102"/>
      <c r="DO337" s="102"/>
      <c r="DP337" s="102"/>
      <c r="DQ337" s="102"/>
      <c r="DR337" s="102"/>
      <c r="DS337" s="102"/>
      <c r="DT337" s="102"/>
      <c r="DU337" s="102"/>
      <c r="DV337" s="102"/>
      <c r="DW337" s="102"/>
      <c r="DX337" s="102"/>
      <c r="DY337" s="102">
        <v>17.3</v>
      </c>
      <c r="DZ337" s="102"/>
      <c r="EA337" s="102"/>
    </row>
    <row r="338" spans="1:131" x14ac:dyDescent="0.15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  <c r="CW338" s="102"/>
      <c r="CX338" s="102"/>
      <c r="CY338" s="102"/>
      <c r="CZ338" s="102"/>
      <c r="DA338" s="102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>
        <v>17.2</v>
      </c>
      <c r="DZ338" s="102"/>
      <c r="EA338" s="102"/>
    </row>
    <row r="339" spans="1:131" x14ac:dyDescent="0.15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  <c r="CW339" s="102"/>
      <c r="CX339" s="102"/>
      <c r="CY339" s="102"/>
      <c r="CZ339" s="102"/>
      <c r="DA339" s="102"/>
      <c r="DB339" s="102"/>
      <c r="DC339" s="102"/>
      <c r="DD339" s="102"/>
      <c r="DE339" s="102"/>
      <c r="DF339" s="102"/>
      <c r="DG339" s="102"/>
      <c r="DH339" s="102"/>
      <c r="DI339" s="102"/>
      <c r="DJ339" s="102"/>
      <c r="DK339" s="102"/>
      <c r="DL339" s="102"/>
      <c r="DM339" s="102"/>
      <c r="DN339" s="102"/>
      <c r="DO339" s="102"/>
      <c r="DP339" s="102"/>
      <c r="DQ339" s="102"/>
      <c r="DR339" s="102"/>
      <c r="DS339" s="102"/>
      <c r="DT339" s="102"/>
      <c r="DU339" s="102"/>
      <c r="DV339" s="102"/>
      <c r="DW339" s="102"/>
      <c r="DX339" s="102"/>
      <c r="DY339" s="102">
        <v>17.100000000000001</v>
      </c>
      <c r="DZ339" s="102"/>
      <c r="EA339" s="102"/>
    </row>
    <row r="340" spans="1:131" x14ac:dyDescent="0.15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  <c r="CW340" s="102"/>
      <c r="CX340" s="102"/>
      <c r="CY340" s="102"/>
      <c r="CZ340" s="102"/>
      <c r="DA340" s="102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  <c r="DO340" s="102"/>
      <c r="DP340" s="102"/>
      <c r="DQ340" s="102"/>
      <c r="DR340" s="102"/>
      <c r="DS340" s="102"/>
      <c r="DT340" s="102"/>
      <c r="DU340" s="102"/>
      <c r="DV340" s="102"/>
      <c r="DW340" s="102"/>
      <c r="DX340" s="102"/>
      <c r="DY340" s="102">
        <v>17</v>
      </c>
      <c r="DZ340" s="102"/>
      <c r="EA340" s="102"/>
    </row>
    <row r="341" spans="1:131" x14ac:dyDescent="0.15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  <c r="CW341" s="102"/>
      <c r="CX341" s="102"/>
      <c r="CY341" s="102"/>
      <c r="CZ341" s="102"/>
      <c r="DA341" s="102"/>
      <c r="DB341" s="102"/>
      <c r="DC341" s="102"/>
      <c r="DD341" s="102"/>
      <c r="DE341" s="102"/>
      <c r="DF341" s="102"/>
      <c r="DG341" s="102"/>
      <c r="DH341" s="102"/>
      <c r="DI341" s="102"/>
      <c r="DJ341" s="102"/>
      <c r="DK341" s="102"/>
      <c r="DL341" s="102"/>
      <c r="DM341" s="102"/>
      <c r="DN341" s="102"/>
      <c r="DO341" s="102"/>
      <c r="DP341" s="102"/>
      <c r="DQ341" s="102"/>
      <c r="DR341" s="102"/>
      <c r="DS341" s="102"/>
      <c r="DT341" s="102"/>
      <c r="DU341" s="102"/>
      <c r="DV341" s="102"/>
      <c r="DW341" s="102"/>
      <c r="DX341" s="102"/>
      <c r="DY341" s="102">
        <v>16.899999999999999</v>
      </c>
      <c r="DZ341" s="102"/>
      <c r="EA341" s="102"/>
    </row>
    <row r="342" spans="1:131" x14ac:dyDescent="0.15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  <c r="CW342" s="102"/>
      <c r="CX342" s="102"/>
      <c r="CY342" s="102"/>
      <c r="CZ342" s="102"/>
      <c r="DA342" s="102"/>
      <c r="DB342" s="102"/>
      <c r="DC342" s="102"/>
      <c r="DD342" s="102"/>
      <c r="DE342" s="102"/>
      <c r="DF342" s="102"/>
      <c r="DG342" s="102"/>
      <c r="DH342" s="102"/>
      <c r="DI342" s="102"/>
      <c r="DJ342" s="102"/>
      <c r="DK342" s="102"/>
      <c r="DL342" s="102"/>
      <c r="DM342" s="102"/>
      <c r="DN342" s="102"/>
      <c r="DO342" s="102"/>
      <c r="DP342" s="102"/>
      <c r="DQ342" s="102"/>
      <c r="DR342" s="102"/>
      <c r="DS342" s="102"/>
      <c r="DT342" s="102"/>
      <c r="DU342" s="102"/>
      <c r="DV342" s="102"/>
      <c r="DW342" s="102"/>
      <c r="DX342" s="102"/>
      <c r="DY342" s="102">
        <v>16.8</v>
      </c>
      <c r="DZ342" s="102"/>
      <c r="EA342" s="102"/>
    </row>
    <row r="343" spans="1:131" x14ac:dyDescent="0.15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  <c r="CW343" s="102"/>
      <c r="CX343" s="102"/>
      <c r="CY343" s="102"/>
      <c r="CZ343" s="102"/>
      <c r="DA343" s="102"/>
      <c r="DB343" s="102"/>
      <c r="DC343" s="102"/>
      <c r="DD343" s="102"/>
      <c r="DE343" s="102"/>
      <c r="DF343" s="102"/>
      <c r="DG343" s="102"/>
      <c r="DH343" s="102"/>
      <c r="DI343" s="102"/>
      <c r="DJ343" s="102"/>
      <c r="DK343" s="102"/>
      <c r="DL343" s="102"/>
      <c r="DM343" s="102"/>
      <c r="DN343" s="102"/>
      <c r="DO343" s="102"/>
      <c r="DP343" s="102"/>
      <c r="DQ343" s="102"/>
      <c r="DR343" s="102"/>
      <c r="DS343" s="102"/>
      <c r="DT343" s="102"/>
      <c r="DU343" s="102"/>
      <c r="DV343" s="102"/>
      <c r="DW343" s="102"/>
      <c r="DX343" s="102"/>
      <c r="DY343" s="102">
        <v>16.7</v>
      </c>
      <c r="DZ343" s="102"/>
      <c r="EA343" s="102"/>
    </row>
    <row r="344" spans="1:131" x14ac:dyDescent="0.15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  <c r="CW344" s="102"/>
      <c r="CX344" s="102"/>
      <c r="CY344" s="102"/>
      <c r="CZ344" s="102"/>
      <c r="DA344" s="102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>
        <v>16.600000000000001</v>
      </c>
      <c r="DZ344" s="102"/>
      <c r="EA344" s="102"/>
    </row>
    <row r="345" spans="1:131" x14ac:dyDescent="0.15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  <c r="CW345" s="102"/>
      <c r="CX345" s="102"/>
      <c r="CY345" s="102"/>
      <c r="CZ345" s="102"/>
      <c r="DA345" s="102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>
        <v>16.5</v>
      </c>
      <c r="DZ345" s="102"/>
      <c r="EA345" s="102"/>
    </row>
    <row r="346" spans="1:131" x14ac:dyDescent="0.15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  <c r="CW346" s="102"/>
      <c r="CX346" s="102"/>
      <c r="CY346" s="102"/>
      <c r="CZ346" s="102"/>
      <c r="DA346" s="102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>
        <v>16.399999999999999</v>
      </c>
      <c r="DZ346" s="102"/>
      <c r="EA346" s="102"/>
    </row>
    <row r="347" spans="1:131" x14ac:dyDescent="0.15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  <c r="CW347" s="102"/>
      <c r="CX347" s="102"/>
      <c r="CY347" s="102"/>
      <c r="CZ347" s="102"/>
      <c r="DA347" s="102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>
        <v>16.3</v>
      </c>
      <c r="DZ347" s="102"/>
      <c r="EA347" s="102"/>
    </row>
    <row r="348" spans="1:131" x14ac:dyDescent="0.15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  <c r="CW348" s="102"/>
      <c r="CX348" s="102"/>
      <c r="CY348" s="102"/>
      <c r="CZ348" s="102"/>
      <c r="DA348" s="102"/>
      <c r="DB348" s="102"/>
      <c r="DC348" s="102"/>
      <c r="DD348" s="102"/>
      <c r="DE348" s="102"/>
      <c r="DF348" s="102"/>
      <c r="DG348" s="102"/>
      <c r="DH348" s="102"/>
      <c r="DI348" s="102"/>
      <c r="DJ348" s="102"/>
      <c r="DK348" s="102"/>
      <c r="DL348" s="102"/>
      <c r="DM348" s="102"/>
      <c r="DN348" s="102"/>
      <c r="DO348" s="102"/>
      <c r="DP348" s="102"/>
      <c r="DQ348" s="102"/>
      <c r="DR348" s="102"/>
      <c r="DS348" s="102"/>
      <c r="DT348" s="102"/>
      <c r="DU348" s="102"/>
      <c r="DV348" s="102"/>
      <c r="DW348" s="102"/>
      <c r="DX348" s="102"/>
      <c r="DY348" s="102">
        <v>16.2</v>
      </c>
      <c r="DZ348" s="102"/>
      <c r="EA348" s="102"/>
    </row>
    <row r="349" spans="1:131" x14ac:dyDescent="0.15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  <c r="CW349" s="102"/>
      <c r="CX349" s="102"/>
      <c r="CY349" s="102"/>
      <c r="CZ349" s="102"/>
      <c r="DA349" s="102"/>
      <c r="DB349" s="102"/>
      <c r="DC349" s="102"/>
      <c r="DD349" s="102"/>
      <c r="DE349" s="102"/>
      <c r="DF349" s="102"/>
      <c r="DG349" s="102"/>
      <c r="DH349" s="102"/>
      <c r="DI349" s="102"/>
      <c r="DJ349" s="102"/>
      <c r="DK349" s="102"/>
      <c r="DL349" s="102"/>
      <c r="DM349" s="102"/>
      <c r="DN349" s="102"/>
      <c r="DO349" s="102"/>
      <c r="DP349" s="102"/>
      <c r="DQ349" s="102"/>
      <c r="DR349" s="102"/>
      <c r="DS349" s="102"/>
      <c r="DT349" s="102"/>
      <c r="DU349" s="102"/>
      <c r="DV349" s="102"/>
      <c r="DW349" s="102"/>
      <c r="DX349" s="102"/>
      <c r="DY349" s="102">
        <v>16.100000000000001</v>
      </c>
      <c r="DZ349" s="102"/>
      <c r="EA349" s="102"/>
    </row>
    <row r="350" spans="1:131" x14ac:dyDescent="0.15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  <c r="CW350" s="102"/>
      <c r="CX350" s="102"/>
      <c r="CY350" s="102"/>
      <c r="CZ350" s="102"/>
      <c r="DA350" s="102"/>
      <c r="DB350" s="102"/>
      <c r="DC350" s="102"/>
      <c r="DD350" s="102"/>
      <c r="DE350" s="102"/>
      <c r="DF350" s="102"/>
      <c r="DG350" s="102"/>
      <c r="DH350" s="102"/>
      <c r="DI350" s="102"/>
      <c r="DJ350" s="102"/>
      <c r="DK350" s="102"/>
      <c r="DL350" s="102"/>
      <c r="DM350" s="102"/>
      <c r="DN350" s="102"/>
      <c r="DO350" s="102"/>
      <c r="DP350" s="102"/>
      <c r="DQ350" s="102"/>
      <c r="DR350" s="102"/>
      <c r="DS350" s="102"/>
      <c r="DT350" s="102"/>
      <c r="DU350" s="102"/>
      <c r="DV350" s="102"/>
      <c r="DW350" s="102"/>
      <c r="DX350" s="102"/>
      <c r="DY350" s="102">
        <v>16</v>
      </c>
      <c r="DZ350" s="102"/>
      <c r="EA350" s="102"/>
    </row>
    <row r="351" spans="1:131" x14ac:dyDescent="0.15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  <c r="CW351" s="102"/>
      <c r="CX351" s="102"/>
      <c r="CY351" s="102"/>
      <c r="CZ351" s="102"/>
      <c r="DA351" s="102"/>
      <c r="DB351" s="102"/>
      <c r="DC351" s="102"/>
      <c r="DD351" s="102"/>
      <c r="DE351" s="102"/>
      <c r="DF351" s="102"/>
      <c r="DG351" s="102"/>
      <c r="DH351" s="102"/>
      <c r="DI351" s="102"/>
      <c r="DJ351" s="102"/>
      <c r="DK351" s="102"/>
      <c r="DL351" s="102"/>
      <c r="DM351" s="102"/>
      <c r="DN351" s="102"/>
      <c r="DO351" s="102"/>
      <c r="DP351" s="102"/>
      <c r="DQ351" s="102"/>
      <c r="DR351" s="102"/>
      <c r="DS351" s="102"/>
      <c r="DT351" s="102"/>
      <c r="DU351" s="102"/>
      <c r="DV351" s="102"/>
      <c r="DW351" s="102"/>
      <c r="DX351" s="102"/>
      <c r="DY351" s="102">
        <v>15.9</v>
      </c>
      <c r="DZ351" s="102"/>
      <c r="EA351" s="102"/>
    </row>
    <row r="352" spans="1:131" x14ac:dyDescent="0.15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  <c r="CW352" s="102"/>
      <c r="CX352" s="102"/>
      <c r="CY352" s="102"/>
      <c r="CZ352" s="102"/>
      <c r="DA352" s="102"/>
      <c r="DB352" s="102"/>
      <c r="DC352" s="102"/>
      <c r="DD352" s="102"/>
      <c r="DE352" s="102"/>
      <c r="DF352" s="102"/>
      <c r="DG352" s="102"/>
      <c r="DH352" s="102"/>
      <c r="DI352" s="102"/>
      <c r="DJ352" s="102"/>
      <c r="DK352" s="102"/>
      <c r="DL352" s="102"/>
      <c r="DM352" s="102"/>
      <c r="DN352" s="102"/>
      <c r="DO352" s="102"/>
      <c r="DP352" s="102"/>
      <c r="DQ352" s="102"/>
      <c r="DR352" s="102"/>
      <c r="DS352" s="102"/>
      <c r="DT352" s="102"/>
      <c r="DU352" s="102"/>
      <c r="DV352" s="102"/>
      <c r="DW352" s="102"/>
      <c r="DX352" s="102"/>
      <c r="DY352" s="102">
        <v>15.8</v>
      </c>
      <c r="DZ352" s="102"/>
      <c r="EA352" s="102"/>
    </row>
    <row r="353" spans="1:131" x14ac:dyDescent="0.15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  <c r="CW353" s="102"/>
      <c r="CX353" s="102"/>
      <c r="CY353" s="102"/>
      <c r="CZ353" s="102"/>
      <c r="DA353" s="102"/>
      <c r="DB353" s="102"/>
      <c r="DC353" s="102"/>
      <c r="DD353" s="102"/>
      <c r="DE353" s="102"/>
      <c r="DF353" s="102"/>
      <c r="DG353" s="102"/>
      <c r="DH353" s="102"/>
      <c r="DI353" s="102"/>
      <c r="DJ353" s="102"/>
      <c r="DK353" s="102"/>
      <c r="DL353" s="102"/>
      <c r="DM353" s="102"/>
      <c r="DN353" s="102"/>
      <c r="DO353" s="102"/>
      <c r="DP353" s="102"/>
      <c r="DQ353" s="102"/>
      <c r="DR353" s="102"/>
      <c r="DS353" s="102"/>
      <c r="DT353" s="102"/>
      <c r="DU353" s="102"/>
      <c r="DV353" s="102"/>
      <c r="DW353" s="102"/>
      <c r="DX353" s="102"/>
      <c r="DY353" s="102">
        <v>15.7</v>
      </c>
      <c r="DZ353" s="102"/>
      <c r="EA353" s="102"/>
    </row>
    <row r="354" spans="1:131" x14ac:dyDescent="0.15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  <c r="CW354" s="102"/>
      <c r="CX354" s="102"/>
      <c r="CY354" s="102"/>
      <c r="CZ354" s="102"/>
      <c r="DA354" s="102"/>
      <c r="DB354" s="102"/>
      <c r="DC354" s="102"/>
      <c r="DD354" s="102"/>
      <c r="DE354" s="102"/>
      <c r="DF354" s="102"/>
      <c r="DG354" s="102"/>
      <c r="DH354" s="102"/>
      <c r="DI354" s="102"/>
      <c r="DJ354" s="102"/>
      <c r="DK354" s="102"/>
      <c r="DL354" s="102"/>
      <c r="DM354" s="102"/>
      <c r="DN354" s="102"/>
      <c r="DO354" s="102"/>
      <c r="DP354" s="102"/>
      <c r="DQ354" s="102"/>
      <c r="DR354" s="102"/>
      <c r="DS354" s="102"/>
      <c r="DT354" s="102"/>
      <c r="DU354" s="102"/>
      <c r="DV354" s="102"/>
      <c r="DW354" s="102"/>
      <c r="DX354" s="102"/>
      <c r="DY354" s="102">
        <v>15.6</v>
      </c>
      <c r="DZ354" s="102"/>
      <c r="EA354" s="102"/>
    </row>
    <row r="355" spans="1:131" x14ac:dyDescent="0.15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  <c r="CW355" s="102"/>
      <c r="CX355" s="102"/>
      <c r="CY355" s="102"/>
      <c r="CZ355" s="102"/>
      <c r="DA355" s="102"/>
      <c r="DB355" s="102"/>
      <c r="DC355" s="102"/>
      <c r="DD355" s="102"/>
      <c r="DE355" s="102"/>
      <c r="DF355" s="102"/>
      <c r="DG355" s="102"/>
      <c r="DH355" s="102"/>
      <c r="DI355" s="102"/>
      <c r="DJ355" s="102"/>
      <c r="DK355" s="102"/>
      <c r="DL355" s="102"/>
      <c r="DM355" s="102"/>
      <c r="DN355" s="102"/>
      <c r="DO355" s="102"/>
      <c r="DP355" s="102"/>
      <c r="DQ355" s="102"/>
      <c r="DR355" s="102"/>
      <c r="DS355" s="102"/>
      <c r="DT355" s="102"/>
      <c r="DU355" s="102"/>
      <c r="DV355" s="102"/>
      <c r="DW355" s="102"/>
      <c r="DX355" s="102"/>
      <c r="DY355" s="102">
        <v>15.5</v>
      </c>
      <c r="DZ355" s="102"/>
      <c r="EA355" s="102"/>
    </row>
    <row r="356" spans="1:131" x14ac:dyDescent="0.15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  <c r="CW356" s="102"/>
      <c r="CX356" s="102"/>
      <c r="CY356" s="102"/>
      <c r="CZ356" s="102"/>
      <c r="DA356" s="102"/>
      <c r="DB356" s="102"/>
      <c r="DC356" s="102"/>
      <c r="DD356" s="102"/>
      <c r="DE356" s="102"/>
      <c r="DF356" s="102"/>
      <c r="DG356" s="102"/>
      <c r="DH356" s="102"/>
      <c r="DI356" s="102"/>
      <c r="DJ356" s="102"/>
      <c r="DK356" s="102"/>
      <c r="DL356" s="102"/>
      <c r="DM356" s="102"/>
      <c r="DN356" s="102"/>
      <c r="DO356" s="102"/>
      <c r="DP356" s="102"/>
      <c r="DQ356" s="102"/>
      <c r="DR356" s="102"/>
      <c r="DS356" s="102"/>
      <c r="DT356" s="102"/>
      <c r="DU356" s="102"/>
      <c r="DV356" s="102"/>
      <c r="DW356" s="102"/>
      <c r="DX356" s="102"/>
      <c r="DY356" s="102">
        <v>15.4</v>
      </c>
      <c r="DZ356" s="102"/>
      <c r="EA356" s="102"/>
    </row>
    <row r="357" spans="1:131" x14ac:dyDescent="0.15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  <c r="CW357" s="102"/>
      <c r="CX357" s="102"/>
      <c r="CY357" s="102"/>
      <c r="CZ357" s="102"/>
      <c r="DA357" s="102"/>
      <c r="DB357" s="102"/>
      <c r="DC357" s="102"/>
      <c r="DD357" s="102"/>
      <c r="DE357" s="102"/>
      <c r="DF357" s="102"/>
      <c r="DG357" s="102"/>
      <c r="DH357" s="102"/>
      <c r="DI357" s="102"/>
      <c r="DJ357" s="102"/>
      <c r="DK357" s="102"/>
      <c r="DL357" s="102"/>
      <c r="DM357" s="102"/>
      <c r="DN357" s="102"/>
      <c r="DO357" s="102"/>
      <c r="DP357" s="102"/>
      <c r="DQ357" s="102"/>
      <c r="DR357" s="102"/>
      <c r="DS357" s="102"/>
      <c r="DT357" s="102"/>
      <c r="DU357" s="102"/>
      <c r="DV357" s="102"/>
      <c r="DW357" s="102"/>
      <c r="DX357" s="102"/>
      <c r="DY357" s="102">
        <v>15.3</v>
      </c>
      <c r="DZ357" s="102"/>
      <c r="EA357" s="102"/>
    </row>
    <row r="358" spans="1:131" x14ac:dyDescent="0.15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  <c r="CW358" s="102"/>
      <c r="CX358" s="102"/>
      <c r="CY358" s="102"/>
      <c r="CZ358" s="102"/>
      <c r="DA358" s="102"/>
      <c r="DB358" s="102"/>
      <c r="DC358" s="102"/>
      <c r="DD358" s="102"/>
      <c r="DE358" s="102"/>
      <c r="DF358" s="102"/>
      <c r="DG358" s="102"/>
      <c r="DH358" s="102"/>
      <c r="DI358" s="102"/>
      <c r="DJ358" s="102"/>
      <c r="DK358" s="102"/>
      <c r="DL358" s="102"/>
      <c r="DM358" s="102"/>
      <c r="DN358" s="102"/>
      <c r="DO358" s="102"/>
      <c r="DP358" s="102"/>
      <c r="DQ358" s="102"/>
      <c r="DR358" s="102"/>
      <c r="DS358" s="102"/>
      <c r="DT358" s="102"/>
      <c r="DU358" s="102"/>
      <c r="DV358" s="102"/>
      <c r="DW358" s="102"/>
      <c r="DX358" s="102"/>
      <c r="DY358" s="102">
        <v>15.2</v>
      </c>
      <c r="DZ358" s="102"/>
      <c r="EA358" s="102"/>
    </row>
    <row r="359" spans="1:131" x14ac:dyDescent="0.15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  <c r="CW359" s="102"/>
      <c r="CX359" s="102"/>
      <c r="CY359" s="102"/>
      <c r="CZ359" s="102"/>
      <c r="DA359" s="102"/>
      <c r="DB359" s="102"/>
      <c r="DC359" s="102"/>
      <c r="DD359" s="102"/>
      <c r="DE359" s="102"/>
      <c r="DF359" s="102"/>
      <c r="DG359" s="102"/>
      <c r="DH359" s="102"/>
      <c r="DI359" s="102"/>
      <c r="DJ359" s="102"/>
      <c r="DK359" s="102"/>
      <c r="DL359" s="102"/>
      <c r="DM359" s="102"/>
      <c r="DN359" s="102"/>
      <c r="DO359" s="102"/>
      <c r="DP359" s="102"/>
      <c r="DQ359" s="102"/>
      <c r="DR359" s="102"/>
      <c r="DS359" s="102"/>
      <c r="DT359" s="102"/>
      <c r="DU359" s="102"/>
      <c r="DV359" s="102"/>
      <c r="DW359" s="102"/>
      <c r="DX359" s="102"/>
      <c r="DY359" s="102">
        <v>15.1</v>
      </c>
      <c r="DZ359" s="102"/>
      <c r="EA359" s="102"/>
    </row>
    <row r="360" spans="1:131" x14ac:dyDescent="0.15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  <c r="CW360" s="102"/>
      <c r="CX360" s="102"/>
      <c r="CY360" s="102"/>
      <c r="CZ360" s="102"/>
      <c r="DA360" s="102"/>
      <c r="DB360" s="102"/>
      <c r="DC360" s="102"/>
      <c r="DD360" s="102"/>
      <c r="DE360" s="102"/>
      <c r="DF360" s="102"/>
      <c r="DG360" s="102"/>
      <c r="DH360" s="102"/>
      <c r="DI360" s="102"/>
      <c r="DJ360" s="102"/>
      <c r="DK360" s="102"/>
      <c r="DL360" s="102"/>
      <c r="DM360" s="102"/>
      <c r="DN360" s="102"/>
      <c r="DO360" s="102"/>
      <c r="DP360" s="102"/>
      <c r="DQ360" s="102"/>
      <c r="DR360" s="102"/>
      <c r="DS360" s="102"/>
      <c r="DT360" s="102"/>
      <c r="DU360" s="102"/>
      <c r="DV360" s="102"/>
      <c r="DW360" s="102"/>
      <c r="DX360" s="102"/>
      <c r="DY360" s="102">
        <v>15</v>
      </c>
      <c r="DZ360" s="102"/>
      <c r="EA360" s="102"/>
    </row>
  </sheetData>
  <mergeCells count="537">
    <mergeCell ref="H46:AK46"/>
    <mergeCell ref="AS46:BV46"/>
    <mergeCell ref="CD46:DG46"/>
    <mergeCell ref="CY4:DA4"/>
    <mergeCell ref="BC10:BV10"/>
    <mergeCell ref="CN10:DG10"/>
    <mergeCell ref="R10:AK10"/>
    <mergeCell ref="A7:G7"/>
    <mergeCell ref="H7:J7"/>
    <mergeCell ref="A6:G6"/>
    <mergeCell ref="N6:S6"/>
    <mergeCell ref="T6:V6"/>
    <mergeCell ref="AB6:AD6"/>
    <mergeCell ref="AA7:AC7"/>
    <mergeCell ref="M7:O7"/>
    <mergeCell ref="W7:Z7"/>
    <mergeCell ref="AD8:AH8"/>
    <mergeCell ref="BO8:BS8"/>
    <mergeCell ref="AS7:AU7"/>
    <mergeCell ref="AX7:AZ7"/>
    <mergeCell ref="BH7:BK7"/>
    <mergeCell ref="BL7:BN7"/>
    <mergeCell ref="BO7:BS7"/>
    <mergeCell ref="Y14:Z14"/>
    <mergeCell ref="AA14:AA15"/>
    <mergeCell ref="AG38:AJ38"/>
    <mergeCell ref="AC4:AE4"/>
    <mergeCell ref="Z4:AB4"/>
    <mergeCell ref="BN4:BP4"/>
    <mergeCell ref="BK4:BM4"/>
    <mergeCell ref="BJ14:BK14"/>
    <mergeCell ref="BQ14:BT15"/>
    <mergeCell ref="AP14:AQ15"/>
    <mergeCell ref="AR14:AS15"/>
    <mergeCell ref="AT14:AU14"/>
    <mergeCell ref="AL10:AO12"/>
    <mergeCell ref="AQ11:AS11"/>
    <mergeCell ref="BM14:BO15"/>
    <mergeCell ref="AR18:AU18"/>
    <mergeCell ref="AL19:AO20"/>
    <mergeCell ref="AR19:AU19"/>
    <mergeCell ref="AW19:AX19"/>
    <mergeCell ref="AY19:AZ19"/>
    <mergeCell ref="BB19:BE19"/>
    <mergeCell ref="BF19:BG19"/>
    <mergeCell ref="BI19:BM19"/>
    <mergeCell ref="BN19:BO19"/>
    <mergeCell ref="BQ19:BT19"/>
    <mergeCell ref="CV4:CX4"/>
    <mergeCell ref="AW24:AZ24"/>
    <mergeCell ref="AP23:AV23"/>
    <mergeCell ref="AW23:AZ23"/>
    <mergeCell ref="BB23:BC23"/>
    <mergeCell ref="BE23:BH23"/>
    <mergeCell ref="BR23:BU23"/>
    <mergeCell ref="AP24:AV24"/>
    <mergeCell ref="AC11:AG11"/>
    <mergeCell ref="AL13:AO15"/>
    <mergeCell ref="AZ11:BA11"/>
    <mergeCell ref="BC11:BH11"/>
    <mergeCell ref="BI11:BK11"/>
    <mergeCell ref="BN11:BR11"/>
    <mergeCell ref="BS11:BU11"/>
    <mergeCell ref="BN12:BR12"/>
    <mergeCell ref="AV14:AV15"/>
    <mergeCell ref="AW14:AY15"/>
    <mergeCell ref="AZ14:AZ15"/>
    <mergeCell ref="BA14:BB15"/>
    <mergeCell ref="BC14:BD14"/>
    <mergeCell ref="BE14:BE15"/>
    <mergeCell ref="BF14:BH15"/>
    <mergeCell ref="BI14:BI15"/>
    <mergeCell ref="E14:F15"/>
    <mergeCell ref="S31:U32"/>
    <mergeCell ref="T36:U36"/>
    <mergeCell ref="K37:M37"/>
    <mergeCell ref="T37:U37"/>
    <mergeCell ref="AG22:AJ22"/>
    <mergeCell ref="AG23:AJ23"/>
    <mergeCell ref="G14:H15"/>
    <mergeCell ref="AG24:AJ24"/>
    <mergeCell ref="AG25:AJ25"/>
    <mergeCell ref="AG26:AJ26"/>
    <mergeCell ref="E26:K26"/>
    <mergeCell ref="F20:F21"/>
    <mergeCell ref="M31:M32"/>
    <mergeCell ref="R31:R32"/>
    <mergeCell ref="W34:Z34"/>
    <mergeCell ref="T34:U34"/>
    <mergeCell ref="J31:K32"/>
    <mergeCell ref="O37:R37"/>
    <mergeCell ref="AE21:AH21"/>
    <mergeCell ref="E24:K24"/>
    <mergeCell ref="E23:K23"/>
    <mergeCell ref="Q23:R23"/>
    <mergeCell ref="Q22:R22"/>
    <mergeCell ref="B47:E47"/>
    <mergeCell ref="H47:J47"/>
    <mergeCell ref="M47:O47"/>
    <mergeCell ref="R47:U47"/>
    <mergeCell ref="E34:J34"/>
    <mergeCell ref="E36:J36"/>
    <mergeCell ref="H31:I31"/>
    <mergeCell ref="H32:I32"/>
    <mergeCell ref="E31:G32"/>
    <mergeCell ref="E40:AK40"/>
    <mergeCell ref="AG32:AJ32"/>
    <mergeCell ref="Y31:AB32"/>
    <mergeCell ref="O33:R33"/>
    <mergeCell ref="O34:R34"/>
    <mergeCell ref="O35:R35"/>
    <mergeCell ref="O36:R36"/>
    <mergeCell ref="P45:S45"/>
    <mergeCell ref="K33:M33"/>
    <mergeCell ref="V31:W31"/>
    <mergeCell ref="V32:W32"/>
    <mergeCell ref="K38:M38"/>
    <mergeCell ref="X31:X32"/>
    <mergeCell ref="O38:R38"/>
    <mergeCell ref="K34:M34"/>
    <mergeCell ref="E38:J38"/>
    <mergeCell ref="AH60:AH61"/>
    <mergeCell ref="W28:W29"/>
    <mergeCell ref="W54:X54"/>
    <mergeCell ref="Y54:Z54"/>
    <mergeCell ref="AA54:AB54"/>
    <mergeCell ref="AC54:AD54"/>
    <mergeCell ref="A50:AK53"/>
    <mergeCell ref="AE54:AF54"/>
    <mergeCell ref="AG54:AH54"/>
    <mergeCell ref="W33:Z33"/>
    <mergeCell ref="B45:E45"/>
    <mergeCell ref="K35:M35"/>
    <mergeCell ref="T35:U35"/>
    <mergeCell ref="K36:M36"/>
    <mergeCell ref="R48:U48"/>
    <mergeCell ref="T55:AJ55"/>
    <mergeCell ref="T56:AE56"/>
    <mergeCell ref="L42:O42"/>
    <mergeCell ref="Q44:AK44"/>
    <mergeCell ref="M48:O48"/>
    <mergeCell ref="AG48:AI48"/>
    <mergeCell ref="X48:AA48"/>
    <mergeCell ref="H48:J48"/>
    <mergeCell ref="A21:D22"/>
    <mergeCell ref="A19:D20"/>
    <mergeCell ref="Z21:AD21"/>
    <mergeCell ref="AF19:AI19"/>
    <mergeCell ref="E22:K22"/>
    <mergeCell ref="N32:Q32"/>
    <mergeCell ref="E37:J37"/>
    <mergeCell ref="T33:U33"/>
    <mergeCell ref="AE31:AH31"/>
    <mergeCell ref="AC32:AF32"/>
    <mergeCell ref="AG35:AJ35"/>
    <mergeCell ref="AG34:AJ34"/>
    <mergeCell ref="AG33:AJ33"/>
    <mergeCell ref="AG36:AJ36"/>
    <mergeCell ref="AG37:AJ37"/>
    <mergeCell ref="AB28:AB29"/>
    <mergeCell ref="AC28:AH29"/>
    <mergeCell ref="G20:L21"/>
    <mergeCell ref="M20:Y21"/>
    <mergeCell ref="L25:O25"/>
    <mergeCell ref="T22:W22"/>
    <mergeCell ref="T23:W23"/>
    <mergeCell ref="T24:W24"/>
    <mergeCell ref="T25:W25"/>
    <mergeCell ref="B48:E48"/>
    <mergeCell ref="G43:K43"/>
    <mergeCell ref="G19:J19"/>
    <mergeCell ref="L19:M19"/>
    <mergeCell ref="N19:O19"/>
    <mergeCell ref="U19:V19"/>
    <mergeCell ref="X19:AB19"/>
    <mergeCell ref="AC19:AD19"/>
    <mergeCell ref="Q19:T19"/>
    <mergeCell ref="G42:J42"/>
    <mergeCell ref="W35:Z35"/>
    <mergeCell ref="W36:Z36"/>
    <mergeCell ref="W37:Z37"/>
    <mergeCell ref="W38:Z38"/>
    <mergeCell ref="AC33:AD34"/>
    <mergeCell ref="AC35:AD38"/>
    <mergeCell ref="E35:J35"/>
    <mergeCell ref="E33:J33"/>
    <mergeCell ref="T38:U38"/>
    <mergeCell ref="N31:Q31"/>
    <mergeCell ref="L22:O22"/>
    <mergeCell ref="L23:O23"/>
    <mergeCell ref="L24:O24"/>
    <mergeCell ref="Q24:R24"/>
    <mergeCell ref="AR43:AV43"/>
    <mergeCell ref="BB24:BC24"/>
    <mergeCell ref="BE24:BH24"/>
    <mergeCell ref="BR24:BU24"/>
    <mergeCell ref="AP40:BV40"/>
    <mergeCell ref="AR42:AU42"/>
    <mergeCell ref="AW42:AZ42"/>
    <mergeCell ref="BR38:BU38"/>
    <mergeCell ref="AP33:AU33"/>
    <mergeCell ref="BC31:BC32"/>
    <mergeCell ref="BG31:BH31"/>
    <mergeCell ref="BI31:BI32"/>
    <mergeCell ref="BJ31:BM32"/>
    <mergeCell ref="BP31:BS31"/>
    <mergeCell ref="AS32:AT32"/>
    <mergeCell ref="AY32:BB32"/>
    <mergeCell ref="BG32:BH32"/>
    <mergeCell ref="BN32:BQ32"/>
    <mergeCell ref="BM28:BM29"/>
    <mergeCell ref="BN28:BS29"/>
    <mergeCell ref="AP31:AR32"/>
    <mergeCell ref="AS31:AT31"/>
    <mergeCell ref="AU31:AV32"/>
    <mergeCell ref="AX31:AX32"/>
    <mergeCell ref="Q25:R25"/>
    <mergeCell ref="Q26:R26"/>
    <mergeCell ref="T27:W27"/>
    <mergeCell ref="L26:O26"/>
    <mergeCell ref="T26:W26"/>
    <mergeCell ref="X28:AA29"/>
    <mergeCell ref="X27:Y27"/>
    <mergeCell ref="E28:P29"/>
    <mergeCell ref="E25:K25"/>
    <mergeCell ref="Q28:V29"/>
    <mergeCell ref="F11:H11"/>
    <mergeCell ref="G18:J18"/>
    <mergeCell ref="A9:AK9"/>
    <mergeCell ref="A10:D12"/>
    <mergeCell ref="I11:K11"/>
    <mergeCell ref="L11:N11"/>
    <mergeCell ref="O11:P11"/>
    <mergeCell ref="A8:G8"/>
    <mergeCell ref="AF14:AI15"/>
    <mergeCell ref="AC12:AG12"/>
    <mergeCell ref="I14:J14"/>
    <mergeCell ref="K14:K15"/>
    <mergeCell ref="L14:N15"/>
    <mergeCell ref="AB14:AD15"/>
    <mergeCell ref="R14:S14"/>
    <mergeCell ref="T14:T15"/>
    <mergeCell ref="U14:W15"/>
    <mergeCell ref="O14:O15"/>
    <mergeCell ref="AE14:AE15"/>
    <mergeCell ref="P14:Q15"/>
    <mergeCell ref="X11:Z11"/>
    <mergeCell ref="AH11:AJ11"/>
    <mergeCell ref="A13:D15"/>
    <mergeCell ref="X14:X15"/>
    <mergeCell ref="R11:W11"/>
    <mergeCell ref="AE6:AI6"/>
    <mergeCell ref="I8:N8"/>
    <mergeCell ref="H6:K6"/>
    <mergeCell ref="AD7:AH7"/>
    <mergeCell ref="Y6:AA6"/>
    <mergeCell ref="Y8:AB8"/>
    <mergeCell ref="BL14:BL15"/>
    <mergeCell ref="AL8:AR8"/>
    <mergeCell ref="AT8:AY8"/>
    <mergeCell ref="BJ8:BM8"/>
    <mergeCell ref="AL9:BV9"/>
    <mergeCell ref="AT11:AV11"/>
    <mergeCell ref="AW11:AY11"/>
    <mergeCell ref="AP12:BL12"/>
    <mergeCell ref="AL6:AR6"/>
    <mergeCell ref="AS6:AV6"/>
    <mergeCell ref="AY6:BD6"/>
    <mergeCell ref="BE6:BG6"/>
    <mergeCell ref="BJ6:BL6"/>
    <mergeCell ref="BM6:BO6"/>
    <mergeCell ref="BP6:BT6"/>
    <mergeCell ref="AL7:AR7"/>
    <mergeCell ref="BP14:BP15"/>
    <mergeCell ref="AL44:BV45"/>
    <mergeCell ref="AP25:AV25"/>
    <mergeCell ref="AW25:AZ25"/>
    <mergeCell ref="BB25:BC25"/>
    <mergeCell ref="BE25:BH25"/>
    <mergeCell ref="BR25:BU25"/>
    <mergeCell ref="AP26:AV26"/>
    <mergeCell ref="AW26:AZ26"/>
    <mergeCell ref="BB26:BC26"/>
    <mergeCell ref="BE26:BH26"/>
    <mergeCell ref="BR26:BU26"/>
    <mergeCell ref="BE27:BH27"/>
    <mergeCell ref="BI27:BJ27"/>
    <mergeCell ref="AP28:BA29"/>
    <mergeCell ref="BB28:BG29"/>
    <mergeCell ref="BH28:BH29"/>
    <mergeCell ref="BI28:BL29"/>
    <mergeCell ref="AY31:BB31"/>
    <mergeCell ref="BR32:BU32"/>
    <mergeCell ref="BD31:BF32"/>
    <mergeCell ref="AV33:AX33"/>
    <mergeCell ref="AZ33:BC33"/>
    <mergeCell ref="BE33:BF33"/>
    <mergeCell ref="BH33:BK33"/>
    <mergeCell ref="BE55:BU55"/>
    <mergeCell ref="BE56:BP56"/>
    <mergeCell ref="AM47:AP47"/>
    <mergeCell ref="AS47:AU47"/>
    <mergeCell ref="AX47:AZ47"/>
    <mergeCell ref="BC47:BF47"/>
    <mergeCell ref="AM48:AP48"/>
    <mergeCell ref="AS48:AU48"/>
    <mergeCell ref="AX48:AZ48"/>
    <mergeCell ref="BC48:BF48"/>
    <mergeCell ref="BI48:BL48"/>
    <mergeCell ref="BR48:BT48"/>
    <mergeCell ref="AL50:BV53"/>
    <mergeCell ref="BH54:BI54"/>
    <mergeCell ref="BJ54:BK54"/>
    <mergeCell ref="BL54:BM54"/>
    <mergeCell ref="BN54:BO54"/>
    <mergeCell ref="BP54:BQ54"/>
    <mergeCell ref="BR54:BS54"/>
    <mergeCell ref="AQ20:AQ21"/>
    <mergeCell ref="AR20:AW21"/>
    <mergeCell ref="AL21:AO22"/>
    <mergeCell ref="BK21:BO21"/>
    <mergeCell ref="BP21:BS21"/>
    <mergeCell ref="AP22:AV22"/>
    <mergeCell ref="AW22:AZ22"/>
    <mergeCell ref="BB22:BC22"/>
    <mergeCell ref="BE22:BH22"/>
    <mergeCell ref="BR22:BU22"/>
    <mergeCell ref="AX20:BJ21"/>
    <mergeCell ref="BN33:BO34"/>
    <mergeCell ref="BR33:BU33"/>
    <mergeCell ref="AP34:AU34"/>
    <mergeCell ref="AV34:AX34"/>
    <mergeCell ref="AZ34:BC34"/>
    <mergeCell ref="BE34:BF34"/>
    <mergeCell ref="BH34:BK34"/>
    <mergeCell ref="BR34:BU34"/>
    <mergeCell ref="AP35:AU35"/>
    <mergeCell ref="AV35:AX35"/>
    <mergeCell ref="AZ35:BC35"/>
    <mergeCell ref="BE35:BF35"/>
    <mergeCell ref="BH35:BK35"/>
    <mergeCell ref="BN35:BO38"/>
    <mergeCell ref="BR35:BU35"/>
    <mergeCell ref="AP36:AU36"/>
    <mergeCell ref="AV36:AX36"/>
    <mergeCell ref="AZ36:BC36"/>
    <mergeCell ref="BE36:BF36"/>
    <mergeCell ref="BH36:BK36"/>
    <mergeCell ref="BR36:BU36"/>
    <mergeCell ref="AP37:AU37"/>
    <mergeCell ref="AV37:AX37"/>
    <mergeCell ref="AZ37:BC37"/>
    <mergeCell ref="BE37:BF37"/>
    <mergeCell ref="BH37:BK37"/>
    <mergeCell ref="BR37:BU37"/>
    <mergeCell ref="AP38:AU38"/>
    <mergeCell ref="AV38:AX38"/>
    <mergeCell ref="AZ38:BC38"/>
    <mergeCell ref="BE38:BF38"/>
    <mergeCell ref="BH38:BK38"/>
    <mergeCell ref="CU6:CW6"/>
    <mergeCell ref="BW8:CC8"/>
    <mergeCell ref="CE8:CJ8"/>
    <mergeCell ref="CU8:CX8"/>
    <mergeCell ref="BW13:BZ15"/>
    <mergeCell ref="CA14:CB15"/>
    <mergeCell ref="CC14:CD15"/>
    <mergeCell ref="CE14:CF14"/>
    <mergeCell ref="CG14:CG15"/>
    <mergeCell ref="CH14:CJ15"/>
    <mergeCell ref="CK14:CK15"/>
    <mergeCell ref="CL14:CM15"/>
    <mergeCell ref="CN14:CO14"/>
    <mergeCell ref="CP14:CP15"/>
    <mergeCell ref="CQ14:CS15"/>
    <mergeCell ref="CT14:CT15"/>
    <mergeCell ref="CX6:CZ6"/>
    <mergeCell ref="DA6:DE6"/>
    <mergeCell ref="BW7:CC7"/>
    <mergeCell ref="CD7:CF7"/>
    <mergeCell ref="CI7:CK7"/>
    <mergeCell ref="CS7:CV7"/>
    <mergeCell ref="CW7:CY7"/>
    <mergeCell ref="CZ7:DD7"/>
    <mergeCell ref="CP6:CR6"/>
    <mergeCell ref="BW6:CC6"/>
    <mergeCell ref="CD6:CG6"/>
    <mergeCell ref="CJ6:CO6"/>
    <mergeCell ref="CZ8:DD8"/>
    <mergeCell ref="BW9:DG9"/>
    <mergeCell ref="BW10:BZ12"/>
    <mergeCell ref="CB11:CD11"/>
    <mergeCell ref="CE11:CG11"/>
    <mergeCell ref="CH11:CJ11"/>
    <mergeCell ref="CK11:CL11"/>
    <mergeCell ref="CN11:CS11"/>
    <mergeCell ref="CT11:CV11"/>
    <mergeCell ref="CY11:DC11"/>
    <mergeCell ref="DD11:DF11"/>
    <mergeCell ref="CY12:DC12"/>
    <mergeCell ref="CA12:CW12"/>
    <mergeCell ref="CU14:CV14"/>
    <mergeCell ref="CW14:CW15"/>
    <mergeCell ref="CX14:CZ15"/>
    <mergeCell ref="DA14:DA15"/>
    <mergeCell ref="DB14:DE15"/>
    <mergeCell ref="CC18:CF18"/>
    <mergeCell ref="BW19:BZ20"/>
    <mergeCell ref="CC19:CF19"/>
    <mergeCell ref="CH19:CI19"/>
    <mergeCell ref="CJ19:CK19"/>
    <mergeCell ref="CM19:CP19"/>
    <mergeCell ref="CQ19:CR19"/>
    <mergeCell ref="CT19:CX19"/>
    <mergeCell ref="CY19:CZ19"/>
    <mergeCell ref="DB19:DE19"/>
    <mergeCell ref="CB20:CB21"/>
    <mergeCell ref="CC20:CH21"/>
    <mergeCell ref="BW21:BZ22"/>
    <mergeCell ref="CV21:CZ21"/>
    <mergeCell ref="DA21:DD21"/>
    <mergeCell ref="CA22:CG22"/>
    <mergeCell ref="CH22:CK22"/>
    <mergeCell ref="CM22:CN22"/>
    <mergeCell ref="CP22:CS22"/>
    <mergeCell ref="DC22:DF22"/>
    <mergeCell ref="CI20:CU21"/>
    <mergeCell ref="CA23:CG23"/>
    <mergeCell ref="CH23:CK23"/>
    <mergeCell ref="CM23:CN23"/>
    <mergeCell ref="CP23:CS23"/>
    <mergeCell ref="DC23:DF23"/>
    <mergeCell ref="CA24:CG24"/>
    <mergeCell ref="CH24:CK24"/>
    <mergeCell ref="CM24:CN24"/>
    <mergeCell ref="CP24:CS24"/>
    <mergeCell ref="DC24:DF24"/>
    <mergeCell ref="CA25:CG25"/>
    <mergeCell ref="CH25:CK25"/>
    <mergeCell ref="CM25:CN25"/>
    <mergeCell ref="CP25:CS25"/>
    <mergeCell ref="DC25:DF25"/>
    <mergeCell ref="CA26:CG26"/>
    <mergeCell ref="CH26:CK26"/>
    <mergeCell ref="CM26:CN26"/>
    <mergeCell ref="CP26:CS26"/>
    <mergeCell ref="DC26:DF26"/>
    <mergeCell ref="CP27:CS27"/>
    <mergeCell ref="CT27:CU27"/>
    <mergeCell ref="CA28:CL29"/>
    <mergeCell ref="CM28:CR29"/>
    <mergeCell ref="CS28:CS29"/>
    <mergeCell ref="CT28:CW29"/>
    <mergeCell ref="CX28:CX29"/>
    <mergeCell ref="CY28:DD29"/>
    <mergeCell ref="CA31:CC32"/>
    <mergeCell ref="CD31:CE31"/>
    <mergeCell ref="CF31:CG32"/>
    <mergeCell ref="CI31:CI32"/>
    <mergeCell ref="CJ31:CM31"/>
    <mergeCell ref="CN31:CN32"/>
    <mergeCell ref="CO31:CQ32"/>
    <mergeCell ref="CR31:CS31"/>
    <mergeCell ref="CT31:CT32"/>
    <mergeCell ref="CU31:CX32"/>
    <mergeCell ref="DA31:DD31"/>
    <mergeCell ref="CD32:CE32"/>
    <mergeCell ref="CJ32:CM32"/>
    <mergeCell ref="CR32:CS32"/>
    <mergeCell ref="CY32:DB32"/>
    <mergeCell ref="DC32:DF32"/>
    <mergeCell ref="CY33:CZ34"/>
    <mergeCell ref="DC33:DF33"/>
    <mergeCell ref="CA34:CF34"/>
    <mergeCell ref="CG34:CI34"/>
    <mergeCell ref="CK34:CN34"/>
    <mergeCell ref="CP34:CQ34"/>
    <mergeCell ref="CS34:CV34"/>
    <mergeCell ref="DC34:DF34"/>
    <mergeCell ref="DC38:DF38"/>
    <mergeCell ref="CA38:CF38"/>
    <mergeCell ref="CG38:CI38"/>
    <mergeCell ref="CK38:CN38"/>
    <mergeCell ref="CP38:CQ38"/>
    <mergeCell ref="CS38:CV38"/>
    <mergeCell ref="CA33:CF33"/>
    <mergeCell ref="CG33:CI33"/>
    <mergeCell ref="CK33:CN33"/>
    <mergeCell ref="CP33:CQ33"/>
    <mergeCell ref="CS33:CV33"/>
    <mergeCell ref="CC42:CF42"/>
    <mergeCell ref="CH42:CK42"/>
    <mergeCell ref="CC43:CG43"/>
    <mergeCell ref="BW44:DG45"/>
    <mergeCell ref="CA35:CF35"/>
    <mergeCell ref="CG35:CI35"/>
    <mergeCell ref="CK35:CN35"/>
    <mergeCell ref="CP35:CQ35"/>
    <mergeCell ref="CS35:CV35"/>
    <mergeCell ref="CY35:CZ38"/>
    <mergeCell ref="DC35:DF35"/>
    <mergeCell ref="CA36:CF36"/>
    <mergeCell ref="CG36:CI36"/>
    <mergeCell ref="CK36:CN36"/>
    <mergeCell ref="CP36:CQ36"/>
    <mergeCell ref="CS36:CV36"/>
    <mergeCell ref="DC36:DF36"/>
    <mergeCell ref="CA37:CF37"/>
    <mergeCell ref="CG37:CI37"/>
    <mergeCell ref="CK37:CN37"/>
    <mergeCell ref="CP37:CQ37"/>
    <mergeCell ref="CS37:CV37"/>
    <mergeCell ref="DC37:DF37"/>
    <mergeCell ref="AH3:AK4"/>
    <mergeCell ref="BS3:BV4"/>
    <mergeCell ref="DD3:DG4"/>
    <mergeCell ref="CP56:DA56"/>
    <mergeCell ref="E12:AA12"/>
    <mergeCell ref="DC48:DE48"/>
    <mergeCell ref="BW50:DG53"/>
    <mergeCell ref="CS54:CT54"/>
    <mergeCell ref="CU54:CV54"/>
    <mergeCell ref="CW54:CX54"/>
    <mergeCell ref="CY54:CZ54"/>
    <mergeCell ref="DA54:DB54"/>
    <mergeCell ref="DC54:DD54"/>
    <mergeCell ref="CP55:DF55"/>
    <mergeCell ref="BX47:CA47"/>
    <mergeCell ref="CD47:CF47"/>
    <mergeCell ref="CI47:CK47"/>
    <mergeCell ref="CN47:CQ47"/>
    <mergeCell ref="BX48:CA48"/>
    <mergeCell ref="CD48:CF48"/>
    <mergeCell ref="CI48:CK48"/>
    <mergeCell ref="CN48:CQ48"/>
    <mergeCell ref="CT48:CW48"/>
    <mergeCell ref="CA40:DG40"/>
  </mergeCells>
  <phoneticPr fontId="2"/>
  <dataValidations count="6">
    <dataValidation type="list" allowBlank="1" showInputMessage="1" showErrorMessage="1" sqref="CY4:DA4 BN4:BP4 AC4:AE4">
      <formula1>$DO$20:$DT$20</formula1>
    </dataValidation>
    <dataValidation type="list" allowBlank="1" showInputMessage="1" showErrorMessage="1" sqref="BB28 CN11 CM28 Q28 R11 BC11">
      <formula1>$DX$9:$DX$252</formula1>
    </dataValidation>
    <dataValidation type="list" allowBlank="1" showInputMessage="1" showErrorMessage="1" sqref="BE33:BF38 CM22:CN26 CP33:CQ38 T33:U38 Q22:R26 BB22:BC26">
      <formula1>$DW$9:$DW$43</formula1>
    </dataValidation>
    <dataValidation type="list" allowBlank="1" showInputMessage="1" showErrorMessage="1" sqref="B45:E45">
      <formula1>$DZ$9:$DZ$45</formula1>
    </dataValidation>
    <dataValidation type="list" allowBlank="1" showInputMessage="1" showErrorMessage="1" sqref="AX48:AZ48 M48:O48 CD48:CF48 H48:J48 CI48:CK48">
      <formula1>$EA$9:$EA$205</formula1>
    </dataValidation>
    <dataValidation type="list" allowBlank="1" showInputMessage="1" showErrorMessage="1" sqref="AS6:AV6 CD6:CG6 H6:K6">
      <formula1>$DW$9:$DW$70</formula1>
    </dataValidation>
  </dataValidations>
  <pageMargins left="1.0236220472440944" right="0.39370078740157483" top="0.70866141732283472" bottom="0.31496062992125984" header="0.31496062992125984" footer="0.31496062992125984"/>
  <pageSetup paperSize="9" pageOrder="overThenDown" orientation="portrait" r:id="rId1"/>
  <colBreaks count="3" manualBreakCount="3">
    <brk id="37" max="1048575" man="1"/>
    <brk id="74" max="1048575" man="1"/>
    <brk id="1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φ20メーター用</vt:lpstr>
      <vt:lpstr>φ13メーター用</vt:lpstr>
      <vt:lpstr>口径50mm以下</vt:lpstr>
      <vt:lpstr>口径75mm以上</vt:lpstr>
      <vt:lpstr>φ13メーター用!Print_Area</vt:lpstr>
      <vt:lpstr>φ20メーター用!Print_Area</vt:lpstr>
      <vt:lpstr>口径50mm以下!Print_Area</vt:lpstr>
      <vt:lpstr>口径75mm以上!Print_Area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KOUMU9</dc:creator>
  <cp:lastModifiedBy>koumu32-pc</cp:lastModifiedBy>
  <cp:lastPrinted>2023-12-18T03:26:35Z</cp:lastPrinted>
  <dcterms:created xsi:type="dcterms:W3CDTF">2007-06-29T04:17:13Z</dcterms:created>
  <dcterms:modified xsi:type="dcterms:W3CDTF">2024-04-03T04:40:03Z</dcterms:modified>
</cp:coreProperties>
</file>